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meo\Desktop\"/>
    </mc:Choice>
  </mc:AlternateContent>
  <bookViews>
    <workbookView xWindow="0" yWindow="0" windowWidth="10050" windowHeight="6225"/>
  </bookViews>
  <sheets>
    <sheet name="export_pays_produit_2014" sheetId="1" r:id="rId1"/>
  </sheets>
  <definedNames>
    <definedName name="_xlnm._FilterDatabase" localSheetId="0" hidden="1">export_pays_produit_2014!$A$14:$D$2378</definedName>
  </definedNames>
  <calcPr calcId="15251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B32" i="1"/>
  <c r="A33" i="1"/>
  <c r="B33" i="1"/>
  <c r="A34" i="1"/>
  <c r="B34" i="1"/>
  <c r="B35" i="1"/>
  <c r="A36" i="1"/>
  <c r="B36" i="1"/>
  <c r="A37" i="1"/>
  <c r="B37" i="1"/>
  <c r="B38" i="1"/>
  <c r="A39" i="1"/>
  <c r="B39" i="1"/>
  <c r="A40" i="1"/>
  <c r="B40" i="1"/>
  <c r="A41" i="1"/>
  <c r="B41" i="1"/>
  <c r="A42" i="1"/>
  <c r="B42" i="1"/>
  <c r="A43" i="1"/>
  <c r="B43" i="1"/>
  <c r="B44" i="1"/>
  <c r="A45" i="1"/>
  <c r="B45" i="1"/>
  <c r="A46" i="1"/>
  <c r="B46" i="1"/>
  <c r="A47" i="1"/>
  <c r="B47" i="1"/>
  <c r="A48" i="1"/>
  <c r="B48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B124" i="1"/>
  <c r="A125" i="1"/>
  <c r="B125" i="1"/>
  <c r="A126" i="1"/>
  <c r="B126" i="1"/>
  <c r="B127" i="1"/>
  <c r="A128" i="1"/>
  <c r="B128" i="1"/>
  <c r="A129" i="1"/>
  <c r="B129" i="1"/>
  <c r="A130" i="1"/>
  <c r="B130" i="1"/>
  <c r="A131" i="1"/>
  <c r="B131" i="1"/>
  <c r="B132" i="1"/>
  <c r="A133" i="1"/>
  <c r="B133" i="1"/>
  <c r="A134" i="1"/>
  <c r="B134" i="1"/>
  <c r="A135" i="1"/>
  <c r="B135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B167" i="1"/>
  <c r="A168" i="1"/>
  <c r="B168" i="1"/>
  <c r="A169" i="1"/>
  <c r="B169" i="1"/>
  <c r="A170" i="1"/>
  <c r="B170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B350" i="1"/>
  <c r="A351" i="1"/>
  <c r="B351" i="1"/>
  <c r="A352" i="1"/>
  <c r="B352" i="1"/>
  <c r="A353" i="1"/>
  <c r="B353" i="1"/>
  <c r="A354" i="1"/>
  <c r="B354" i="1"/>
  <c r="B355" i="1"/>
  <c r="A356" i="1"/>
  <c r="B356" i="1"/>
  <c r="A357" i="1"/>
  <c r="B357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B386" i="1"/>
  <c r="A387" i="1"/>
  <c r="B387" i="1"/>
  <c r="A388" i="1"/>
  <c r="B388" i="1"/>
  <c r="A389" i="1"/>
  <c r="B389" i="1"/>
  <c r="A390" i="1"/>
  <c r="B390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B404" i="1"/>
  <c r="A405" i="1"/>
  <c r="B405" i="1"/>
  <c r="A406" i="1"/>
  <c r="B406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B432" i="1"/>
  <c r="A433" i="1"/>
  <c r="B433" i="1"/>
  <c r="A434" i="1"/>
  <c r="B434" i="1"/>
  <c r="B435" i="1"/>
  <c r="A436" i="1"/>
  <c r="B436" i="1"/>
  <c r="A437" i="1"/>
  <c r="B437" i="1"/>
  <c r="A438" i="1"/>
  <c r="B438" i="1"/>
  <c r="A439" i="1"/>
  <c r="B439" i="1"/>
  <c r="B440" i="1"/>
  <c r="A441" i="1"/>
  <c r="B441" i="1"/>
  <c r="A442" i="1"/>
  <c r="B442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A693" i="1"/>
  <c r="B693" i="1"/>
  <c r="A694" i="1"/>
  <c r="B694" i="1"/>
  <c r="A695" i="1"/>
  <c r="B695" i="1"/>
  <c r="A696" i="1"/>
  <c r="B696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7" i="1"/>
  <c r="B707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A716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A737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B819" i="1"/>
  <c r="A820" i="1"/>
  <c r="B820" i="1"/>
  <c r="A821" i="1"/>
  <c r="B821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B877" i="1"/>
  <c r="A878" i="1"/>
  <c r="B878" i="1"/>
  <c r="A879" i="1"/>
  <c r="B879" i="1"/>
  <c r="A880" i="1"/>
  <c r="B880" i="1"/>
  <c r="A881" i="1"/>
  <c r="B881" i="1"/>
  <c r="A882" i="1"/>
  <c r="B882" i="1"/>
  <c r="B883" i="1"/>
  <c r="A884" i="1"/>
  <c r="B884" i="1"/>
  <c r="A885" i="1"/>
  <c r="B885" i="1"/>
  <c r="B886" i="1"/>
  <c r="A887" i="1"/>
  <c r="B887" i="1"/>
  <c r="A888" i="1"/>
  <c r="B888" i="1"/>
  <c r="B889" i="1"/>
  <c r="A890" i="1"/>
  <c r="B890" i="1"/>
  <c r="A891" i="1"/>
  <c r="B891" i="1"/>
  <c r="A892" i="1"/>
  <c r="B892" i="1"/>
  <c r="A893" i="1"/>
  <c r="B893" i="1"/>
  <c r="B894" i="1"/>
  <c r="A895" i="1"/>
  <c r="B895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B938" i="1"/>
  <c r="A939" i="1"/>
  <c r="B939" i="1"/>
  <c r="A940" i="1"/>
  <c r="B940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B957" i="1"/>
  <c r="A958" i="1"/>
  <c r="B958" i="1"/>
  <c r="A959" i="1"/>
  <c r="B959" i="1"/>
  <c r="B960" i="1"/>
  <c r="A961" i="1"/>
  <c r="B961" i="1"/>
  <c r="A962" i="1"/>
  <c r="B962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B971" i="1"/>
  <c r="A972" i="1"/>
  <c r="B972" i="1"/>
  <c r="A973" i="1"/>
  <c r="B973" i="1"/>
  <c r="A974" i="1"/>
  <c r="B974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B989" i="1"/>
  <c r="A990" i="1"/>
  <c r="B990" i="1"/>
  <c r="A991" i="1"/>
  <c r="B991" i="1"/>
  <c r="B992" i="1"/>
  <c r="A993" i="1"/>
  <c r="B993" i="1"/>
  <c r="A994" i="1"/>
  <c r="B994" i="1"/>
  <c r="B995" i="1"/>
  <c r="A996" i="1"/>
  <c r="B996" i="1"/>
  <c r="A997" i="1"/>
  <c r="B997" i="1"/>
  <c r="A998" i="1"/>
  <c r="B998" i="1"/>
  <c r="A999" i="1"/>
  <c r="B999" i="1"/>
  <c r="A1000" i="1"/>
  <c r="B1000" i="1"/>
  <c r="A1001" i="1"/>
  <c r="B1001" i="1"/>
  <c r="A1002" i="1"/>
  <c r="B1002" i="1"/>
  <c r="A1003" i="1"/>
  <c r="B1003" i="1"/>
  <c r="B1004" i="1"/>
  <c r="A1005" i="1"/>
  <c r="B1005" i="1"/>
  <c r="A1006" i="1"/>
  <c r="B1006" i="1"/>
  <c r="A1007" i="1"/>
  <c r="B1007" i="1"/>
  <c r="A1008" i="1"/>
  <c r="B1008" i="1"/>
  <c r="A1009" i="1"/>
  <c r="B1009" i="1"/>
  <c r="A1010" i="1"/>
  <c r="B1010" i="1"/>
  <c r="A1011" i="1"/>
  <c r="B1011" i="1"/>
  <c r="B1012" i="1"/>
  <c r="A1013" i="1"/>
  <c r="B1013" i="1"/>
  <c r="A1014" i="1"/>
  <c r="B1014" i="1"/>
  <c r="A1015" i="1"/>
  <c r="B1015" i="1"/>
  <c r="A1016" i="1"/>
  <c r="B1016" i="1"/>
  <c r="A1017" i="1"/>
  <c r="B1017" i="1"/>
  <c r="A1018" i="1"/>
  <c r="B1018" i="1"/>
  <c r="A1019" i="1"/>
  <c r="B1019" i="1"/>
  <c r="A1020" i="1"/>
  <c r="B1020" i="1"/>
  <c r="B1021" i="1"/>
  <c r="A1022" i="1"/>
  <c r="B1022" i="1"/>
  <c r="A1023" i="1"/>
  <c r="B1023" i="1"/>
  <c r="A1024" i="1"/>
  <c r="B1024" i="1"/>
  <c r="A1025" i="1"/>
  <c r="B1025" i="1"/>
  <c r="B1026" i="1"/>
  <c r="A1027" i="1"/>
  <c r="B1027" i="1"/>
  <c r="A1028" i="1"/>
  <c r="B1028" i="1"/>
  <c r="A1029" i="1"/>
  <c r="B1029" i="1"/>
  <c r="A1030" i="1"/>
  <c r="B1030" i="1"/>
  <c r="A1031" i="1"/>
  <c r="B1031" i="1"/>
  <c r="A1032" i="1"/>
  <c r="B1032" i="1"/>
  <c r="A1033" i="1"/>
  <c r="B1033" i="1"/>
  <c r="A1034" i="1"/>
  <c r="B1034" i="1"/>
  <c r="B1035" i="1"/>
  <c r="A1036" i="1"/>
  <c r="B1036" i="1"/>
  <c r="A1037" i="1"/>
  <c r="B1037" i="1"/>
  <c r="A1038" i="1"/>
  <c r="B1038" i="1"/>
  <c r="A1039" i="1"/>
  <c r="B1039" i="1"/>
  <c r="A1040" i="1"/>
  <c r="B1040" i="1"/>
  <c r="A1041" i="1"/>
  <c r="B1041" i="1"/>
  <c r="A1042" i="1"/>
  <c r="B1042" i="1"/>
  <c r="A1043" i="1"/>
  <c r="B1043" i="1"/>
  <c r="A1044" i="1"/>
  <c r="B1044" i="1"/>
  <c r="B1045" i="1"/>
  <c r="A1046" i="1"/>
  <c r="B1046" i="1"/>
  <c r="A1047" i="1"/>
  <c r="B1047" i="1"/>
  <c r="A1048" i="1"/>
  <c r="B1048" i="1"/>
  <c r="A1049" i="1"/>
  <c r="B1049" i="1"/>
  <c r="A1050" i="1"/>
  <c r="B1050" i="1"/>
  <c r="A1051" i="1"/>
  <c r="B1051" i="1"/>
  <c r="A1052" i="1"/>
  <c r="B1052" i="1"/>
  <c r="A1053" i="1"/>
  <c r="B1053" i="1"/>
  <c r="A1054" i="1"/>
  <c r="B1054" i="1"/>
  <c r="A1055" i="1"/>
  <c r="B1055" i="1"/>
  <c r="A1056" i="1"/>
  <c r="B1056" i="1"/>
  <c r="A1057" i="1"/>
  <c r="B1057" i="1"/>
  <c r="A1058" i="1"/>
  <c r="B1058" i="1"/>
  <c r="A1059" i="1"/>
  <c r="B1059" i="1"/>
  <c r="A1060" i="1"/>
  <c r="B1060" i="1"/>
  <c r="A1061" i="1"/>
  <c r="B1061" i="1"/>
  <c r="B1062" i="1"/>
  <c r="A1063" i="1"/>
  <c r="B1063" i="1"/>
  <c r="A1064" i="1"/>
  <c r="B1064" i="1"/>
  <c r="A1065" i="1"/>
  <c r="B1065" i="1"/>
  <c r="A1066" i="1"/>
  <c r="B1066" i="1"/>
  <c r="A1067" i="1"/>
  <c r="B1067" i="1"/>
  <c r="A1068" i="1"/>
  <c r="B1068" i="1"/>
  <c r="B1069" i="1"/>
  <c r="A1070" i="1"/>
  <c r="B1070" i="1"/>
  <c r="A1071" i="1"/>
  <c r="B1071" i="1"/>
  <c r="A1072" i="1"/>
  <c r="B1072" i="1"/>
  <c r="A1073" i="1"/>
  <c r="B1073" i="1"/>
  <c r="A1074" i="1"/>
  <c r="B1074" i="1"/>
  <c r="A1075" i="1"/>
  <c r="B1075" i="1"/>
  <c r="A1076" i="1"/>
  <c r="B1076" i="1"/>
  <c r="A1077" i="1"/>
  <c r="B1077" i="1"/>
  <c r="A1078" i="1"/>
  <c r="B1078" i="1"/>
  <c r="A1079" i="1"/>
  <c r="B1079" i="1"/>
  <c r="A1080" i="1"/>
  <c r="B1080" i="1"/>
  <c r="A1081" i="1"/>
  <c r="B1081" i="1"/>
  <c r="A1082" i="1"/>
  <c r="B1082" i="1"/>
  <c r="A1083" i="1"/>
  <c r="B1083" i="1"/>
  <c r="A1084" i="1"/>
  <c r="B1084" i="1"/>
  <c r="B1085" i="1"/>
  <c r="A1086" i="1"/>
  <c r="B1086" i="1"/>
  <c r="A1087" i="1"/>
  <c r="B1087" i="1"/>
  <c r="B1088" i="1"/>
  <c r="A1089" i="1"/>
  <c r="B1089" i="1"/>
  <c r="A1090" i="1"/>
  <c r="B1090" i="1"/>
  <c r="A1091" i="1"/>
  <c r="B1091" i="1"/>
  <c r="A1092" i="1"/>
  <c r="B1092" i="1"/>
  <c r="B1093" i="1"/>
  <c r="A1094" i="1"/>
  <c r="B1094" i="1"/>
  <c r="A1095" i="1"/>
  <c r="B1095" i="1"/>
  <c r="A1096" i="1"/>
  <c r="B1096" i="1"/>
  <c r="A1097" i="1"/>
  <c r="B1097" i="1"/>
  <c r="A1098" i="1"/>
  <c r="B1098" i="1"/>
  <c r="A1099" i="1"/>
  <c r="B1099" i="1"/>
  <c r="A1100" i="1"/>
  <c r="B1100" i="1"/>
  <c r="A1101" i="1"/>
  <c r="B1101" i="1"/>
  <c r="A1102" i="1"/>
  <c r="B1102" i="1"/>
  <c r="A1103" i="1"/>
  <c r="B1103" i="1"/>
  <c r="A1104" i="1"/>
  <c r="B1104" i="1"/>
  <c r="A1105" i="1"/>
  <c r="B1105" i="1"/>
  <c r="A1106" i="1"/>
  <c r="B1106" i="1"/>
  <c r="A1107" i="1"/>
  <c r="B1107" i="1"/>
  <c r="A1108" i="1"/>
  <c r="B1108" i="1"/>
  <c r="A1109" i="1"/>
  <c r="B1109" i="1"/>
  <c r="A1110" i="1"/>
  <c r="B1110" i="1"/>
  <c r="A1111" i="1"/>
  <c r="B1111" i="1"/>
  <c r="A1112" i="1"/>
  <c r="B1112" i="1"/>
  <c r="A1113" i="1"/>
  <c r="B1113" i="1"/>
  <c r="A1114" i="1"/>
  <c r="B1114" i="1"/>
  <c r="A1115" i="1"/>
  <c r="B1115" i="1"/>
  <c r="A1116" i="1"/>
  <c r="B1116" i="1"/>
  <c r="A1117" i="1"/>
  <c r="B1117" i="1"/>
  <c r="A1118" i="1"/>
  <c r="B1118" i="1"/>
  <c r="A1119" i="1"/>
  <c r="B1119" i="1"/>
  <c r="A1120" i="1"/>
  <c r="B1120" i="1"/>
  <c r="A1121" i="1"/>
  <c r="B1121" i="1"/>
  <c r="A1122" i="1"/>
  <c r="B1122" i="1"/>
  <c r="A1123" i="1"/>
  <c r="B1123" i="1"/>
  <c r="A1124" i="1"/>
  <c r="B1124" i="1"/>
  <c r="A1125" i="1"/>
  <c r="B1125" i="1"/>
  <c r="A1126" i="1"/>
  <c r="B1126" i="1"/>
  <c r="A1127" i="1"/>
  <c r="B1127" i="1"/>
  <c r="A1128" i="1"/>
  <c r="B1128" i="1"/>
  <c r="A1129" i="1"/>
  <c r="B1129" i="1"/>
  <c r="A1130" i="1"/>
  <c r="B1130" i="1"/>
  <c r="A1131" i="1"/>
  <c r="B1131" i="1"/>
  <c r="A1132" i="1"/>
  <c r="B1132" i="1"/>
  <c r="A1133" i="1"/>
  <c r="B1133" i="1"/>
  <c r="A1134" i="1"/>
  <c r="B1134" i="1"/>
  <c r="A1135" i="1"/>
  <c r="B1135" i="1"/>
  <c r="A1136" i="1"/>
  <c r="B1136" i="1"/>
  <c r="A1137" i="1"/>
  <c r="B1137" i="1"/>
  <c r="A1138" i="1"/>
  <c r="B1138" i="1"/>
  <c r="A1139" i="1"/>
  <c r="B1139" i="1"/>
  <c r="A1140" i="1"/>
  <c r="B1140" i="1"/>
  <c r="A1141" i="1"/>
  <c r="B1141" i="1"/>
  <c r="A1142" i="1"/>
  <c r="B1142" i="1"/>
  <c r="A1143" i="1"/>
  <c r="B1143" i="1"/>
  <c r="A1144" i="1"/>
  <c r="B1144" i="1"/>
  <c r="A1145" i="1"/>
  <c r="B1145" i="1"/>
  <c r="A1146" i="1"/>
  <c r="B1146" i="1"/>
  <c r="A1147" i="1"/>
  <c r="B1147" i="1"/>
  <c r="A1148" i="1"/>
  <c r="B1148" i="1"/>
  <c r="A1149" i="1"/>
  <c r="B1149" i="1"/>
  <c r="A1150" i="1"/>
  <c r="B1150" i="1"/>
  <c r="A1151" i="1"/>
  <c r="B1151" i="1"/>
  <c r="A1152" i="1"/>
  <c r="B1152" i="1"/>
  <c r="A1153" i="1"/>
  <c r="B1153" i="1"/>
  <c r="A1154" i="1"/>
  <c r="B1154" i="1"/>
  <c r="A1155" i="1"/>
  <c r="B1155" i="1"/>
  <c r="A1156" i="1"/>
  <c r="B1156" i="1"/>
  <c r="A1157" i="1"/>
  <c r="B1157" i="1"/>
  <c r="B1158" i="1"/>
  <c r="A1159" i="1"/>
  <c r="B1159" i="1"/>
  <c r="A1160" i="1"/>
  <c r="B1160" i="1"/>
  <c r="A1161" i="1"/>
  <c r="B1161" i="1"/>
  <c r="A1162" i="1"/>
  <c r="B1162" i="1"/>
  <c r="A1163" i="1"/>
  <c r="B1163" i="1"/>
  <c r="A1164" i="1"/>
  <c r="B1164" i="1"/>
  <c r="A1165" i="1"/>
  <c r="B1165" i="1"/>
  <c r="A1166" i="1"/>
  <c r="B1166" i="1"/>
  <c r="A1167" i="1"/>
  <c r="B1167" i="1"/>
  <c r="A1168" i="1"/>
  <c r="B1168" i="1"/>
  <c r="A1169" i="1"/>
  <c r="B1169" i="1"/>
  <c r="A1170" i="1"/>
  <c r="B1170" i="1"/>
  <c r="A1171" i="1"/>
  <c r="B1171" i="1"/>
  <c r="A1172" i="1"/>
  <c r="B1172" i="1"/>
  <c r="A1173" i="1"/>
  <c r="B1173" i="1"/>
  <c r="A1174" i="1"/>
  <c r="B1174" i="1"/>
  <c r="A1175" i="1"/>
  <c r="B1175" i="1"/>
  <c r="A1176" i="1"/>
  <c r="B1176" i="1"/>
  <c r="A1177" i="1"/>
  <c r="B1177" i="1"/>
  <c r="A1178" i="1"/>
  <c r="B1178" i="1"/>
  <c r="A1179" i="1"/>
  <c r="B1179" i="1"/>
  <c r="A1180" i="1"/>
  <c r="B1180" i="1"/>
  <c r="A1181" i="1"/>
  <c r="B1181" i="1"/>
  <c r="A1182" i="1"/>
  <c r="B1182" i="1"/>
  <c r="A1183" i="1"/>
  <c r="B1183" i="1"/>
  <c r="A1184" i="1"/>
  <c r="B1184" i="1"/>
  <c r="A1185" i="1"/>
  <c r="B1185" i="1"/>
  <c r="A1186" i="1"/>
  <c r="B1186" i="1"/>
  <c r="A1187" i="1"/>
  <c r="B1187" i="1"/>
  <c r="A1188" i="1"/>
  <c r="B1188" i="1"/>
  <c r="A1189" i="1"/>
  <c r="B1189" i="1"/>
  <c r="A1190" i="1"/>
  <c r="B1190" i="1"/>
  <c r="A1191" i="1"/>
  <c r="B1191" i="1"/>
  <c r="A1192" i="1"/>
  <c r="B1192" i="1"/>
  <c r="A1193" i="1"/>
  <c r="B1193" i="1"/>
  <c r="A1194" i="1"/>
  <c r="B1194" i="1"/>
  <c r="A1195" i="1"/>
  <c r="B1195" i="1"/>
  <c r="A1196" i="1"/>
  <c r="B1196" i="1"/>
  <c r="A1197" i="1"/>
  <c r="B1197" i="1"/>
  <c r="A1198" i="1"/>
  <c r="B1198" i="1"/>
  <c r="A1199" i="1"/>
  <c r="B1199" i="1"/>
  <c r="A1200" i="1"/>
  <c r="B1200" i="1"/>
  <c r="A1201" i="1"/>
  <c r="B1201" i="1"/>
  <c r="A1202" i="1"/>
  <c r="B1202" i="1"/>
  <c r="A1203" i="1"/>
  <c r="B1203" i="1"/>
  <c r="A1204" i="1"/>
  <c r="B1204" i="1"/>
  <c r="A1205" i="1"/>
  <c r="B1205" i="1"/>
  <c r="A1206" i="1"/>
  <c r="B1206" i="1"/>
  <c r="A1207" i="1"/>
  <c r="B1207" i="1"/>
  <c r="A1208" i="1"/>
  <c r="B1208" i="1"/>
  <c r="A1209" i="1"/>
  <c r="B1209" i="1"/>
  <c r="A1210" i="1"/>
  <c r="B1210" i="1"/>
  <c r="B1211" i="1"/>
  <c r="A1212" i="1"/>
  <c r="B1212" i="1"/>
  <c r="A1213" i="1"/>
  <c r="B1213" i="1"/>
  <c r="A1214" i="1"/>
  <c r="B1214" i="1"/>
  <c r="A1215" i="1"/>
  <c r="B1215" i="1"/>
  <c r="A1216" i="1"/>
  <c r="B1216" i="1"/>
  <c r="A1217" i="1"/>
  <c r="B1217" i="1"/>
  <c r="A1218" i="1"/>
  <c r="B1218" i="1"/>
  <c r="A1219" i="1"/>
  <c r="B1219" i="1"/>
  <c r="A1220" i="1"/>
  <c r="B1220" i="1"/>
  <c r="A1221" i="1"/>
  <c r="B1221" i="1"/>
  <c r="A1222" i="1"/>
  <c r="B1222" i="1"/>
  <c r="A1223" i="1"/>
  <c r="B1223" i="1"/>
  <c r="A1224" i="1"/>
  <c r="B1224" i="1"/>
  <c r="A1225" i="1"/>
  <c r="B1225" i="1"/>
  <c r="A1226" i="1"/>
  <c r="B1226" i="1"/>
  <c r="A1227" i="1"/>
  <c r="B1227" i="1"/>
  <c r="A1228" i="1"/>
  <c r="B1228" i="1"/>
  <c r="A1229" i="1"/>
  <c r="B1229" i="1"/>
  <c r="A1230" i="1"/>
  <c r="B1230" i="1"/>
  <c r="A1231" i="1"/>
  <c r="B1231" i="1"/>
  <c r="A1232" i="1"/>
  <c r="B1232" i="1"/>
  <c r="A1233" i="1"/>
  <c r="B1233" i="1"/>
  <c r="A1234" i="1"/>
  <c r="B1234" i="1"/>
  <c r="A1235" i="1"/>
  <c r="B1235" i="1"/>
  <c r="A1236" i="1"/>
  <c r="B1236" i="1"/>
  <c r="A1237" i="1"/>
  <c r="B1237" i="1"/>
  <c r="A1238" i="1"/>
  <c r="B1238" i="1"/>
  <c r="A1239" i="1"/>
  <c r="B1239" i="1"/>
  <c r="A1240" i="1"/>
  <c r="B1240" i="1"/>
  <c r="A1241" i="1"/>
  <c r="B1241" i="1"/>
  <c r="A1242" i="1"/>
  <c r="B1242" i="1"/>
  <c r="A1243" i="1"/>
  <c r="B1243" i="1"/>
  <c r="A1244" i="1"/>
  <c r="B1244" i="1"/>
  <c r="A1245" i="1"/>
  <c r="B1245" i="1"/>
  <c r="A1246" i="1"/>
  <c r="B1246" i="1"/>
  <c r="A1247" i="1"/>
  <c r="B1247" i="1"/>
  <c r="A1248" i="1"/>
  <c r="B1248" i="1"/>
  <c r="A1249" i="1"/>
  <c r="B1249" i="1"/>
  <c r="A1250" i="1"/>
  <c r="B1250" i="1"/>
  <c r="A1251" i="1"/>
  <c r="B1251" i="1"/>
  <c r="A1252" i="1"/>
  <c r="B1252" i="1"/>
  <c r="A1253" i="1"/>
  <c r="B1253" i="1"/>
  <c r="A1254" i="1"/>
  <c r="B1254" i="1"/>
  <c r="A1255" i="1"/>
  <c r="B1255" i="1"/>
  <c r="A1256" i="1"/>
  <c r="B1256" i="1"/>
  <c r="A1257" i="1"/>
  <c r="B1257" i="1"/>
  <c r="A1258" i="1"/>
  <c r="B1258" i="1"/>
  <c r="A1259" i="1"/>
  <c r="B1259" i="1"/>
  <c r="A1260" i="1"/>
  <c r="B1260" i="1"/>
  <c r="A1261" i="1"/>
  <c r="B1261" i="1"/>
  <c r="A1262" i="1"/>
  <c r="B1262" i="1"/>
  <c r="A1263" i="1"/>
  <c r="B1263" i="1"/>
  <c r="A1264" i="1"/>
  <c r="B1264" i="1"/>
  <c r="A1265" i="1"/>
  <c r="B1265" i="1"/>
  <c r="A1266" i="1"/>
  <c r="B1266" i="1"/>
  <c r="A1267" i="1"/>
  <c r="B1267" i="1"/>
  <c r="A1268" i="1"/>
  <c r="B1268" i="1"/>
  <c r="A1269" i="1"/>
  <c r="B1269" i="1"/>
  <c r="A1270" i="1"/>
  <c r="B1270" i="1"/>
  <c r="A1271" i="1"/>
  <c r="B1271" i="1"/>
  <c r="A1272" i="1"/>
  <c r="B1272" i="1"/>
  <c r="A1273" i="1"/>
  <c r="B1273" i="1"/>
  <c r="A1274" i="1"/>
  <c r="B1274" i="1"/>
  <c r="A1275" i="1"/>
  <c r="B1275" i="1"/>
  <c r="A1276" i="1"/>
  <c r="B1276" i="1"/>
  <c r="A1277" i="1"/>
  <c r="B1277" i="1"/>
  <c r="A1278" i="1"/>
  <c r="B1278" i="1"/>
  <c r="A1279" i="1"/>
  <c r="B1279" i="1"/>
  <c r="A1280" i="1"/>
  <c r="B1280" i="1"/>
  <c r="A1281" i="1"/>
  <c r="B1281" i="1"/>
  <c r="A1282" i="1"/>
  <c r="B1282" i="1"/>
  <c r="A1283" i="1"/>
  <c r="B1283" i="1"/>
  <c r="A1284" i="1"/>
  <c r="B1284" i="1"/>
  <c r="A1285" i="1"/>
  <c r="B1285" i="1"/>
  <c r="A1286" i="1"/>
  <c r="B1286" i="1"/>
  <c r="B1287" i="1"/>
  <c r="A1288" i="1"/>
  <c r="B1288" i="1"/>
  <c r="A1289" i="1"/>
  <c r="B1289" i="1"/>
  <c r="A1290" i="1"/>
  <c r="B1290" i="1"/>
  <c r="A1291" i="1"/>
  <c r="B1291" i="1"/>
  <c r="A1292" i="1"/>
  <c r="B1292" i="1"/>
  <c r="A1293" i="1"/>
  <c r="B1293" i="1"/>
  <c r="A1294" i="1"/>
  <c r="B1294" i="1"/>
  <c r="A1295" i="1"/>
  <c r="B1295" i="1"/>
  <c r="A1296" i="1"/>
  <c r="B1296" i="1"/>
  <c r="A1297" i="1"/>
  <c r="B1297" i="1"/>
  <c r="A1298" i="1"/>
  <c r="B1298" i="1"/>
  <c r="A1299" i="1"/>
  <c r="B1299" i="1"/>
  <c r="A1300" i="1"/>
  <c r="B1300" i="1"/>
  <c r="A1301" i="1"/>
  <c r="B1301" i="1"/>
  <c r="A1302" i="1"/>
  <c r="B1302" i="1"/>
  <c r="A1303" i="1"/>
  <c r="B1303" i="1"/>
  <c r="A1304" i="1"/>
  <c r="B1304" i="1"/>
  <c r="A1305" i="1"/>
  <c r="B1305" i="1"/>
  <c r="A1306" i="1"/>
  <c r="B1306" i="1"/>
  <c r="A1307" i="1"/>
  <c r="B1307" i="1"/>
  <c r="A1308" i="1"/>
  <c r="B1308" i="1"/>
  <c r="A1309" i="1"/>
  <c r="B1309" i="1"/>
  <c r="B1310" i="1"/>
  <c r="A1311" i="1"/>
  <c r="B1311" i="1"/>
  <c r="A1312" i="1"/>
  <c r="B1312" i="1"/>
  <c r="A1313" i="1"/>
  <c r="B1313" i="1"/>
  <c r="B1314" i="1"/>
  <c r="A1315" i="1"/>
  <c r="B1315" i="1"/>
  <c r="A1316" i="1"/>
  <c r="B1316" i="1"/>
  <c r="A1317" i="1"/>
  <c r="B1317" i="1"/>
  <c r="B1318" i="1"/>
  <c r="A1319" i="1"/>
  <c r="B1319" i="1"/>
  <c r="A1320" i="1"/>
  <c r="B1320" i="1"/>
  <c r="A1321" i="1"/>
  <c r="B1321" i="1"/>
  <c r="A1322" i="1"/>
  <c r="B1322" i="1"/>
  <c r="A1323" i="1"/>
  <c r="B1323" i="1"/>
  <c r="A1324" i="1"/>
  <c r="B1324" i="1"/>
  <c r="B1325" i="1"/>
  <c r="A1326" i="1"/>
  <c r="B1326" i="1"/>
  <c r="A1327" i="1"/>
  <c r="B1327" i="1"/>
  <c r="A1328" i="1"/>
  <c r="B1328" i="1"/>
  <c r="A1329" i="1"/>
  <c r="B1329" i="1"/>
  <c r="B1330" i="1"/>
  <c r="A1331" i="1"/>
  <c r="B1331" i="1"/>
  <c r="A1332" i="1"/>
  <c r="B1332" i="1"/>
  <c r="A1333" i="1"/>
  <c r="B1333" i="1"/>
  <c r="B1334" i="1"/>
  <c r="A1335" i="1"/>
  <c r="B1335" i="1"/>
  <c r="A1336" i="1"/>
  <c r="B1336" i="1"/>
  <c r="A1337" i="1"/>
  <c r="B1337" i="1"/>
  <c r="A1338" i="1"/>
  <c r="B1338" i="1"/>
  <c r="B1339" i="1"/>
  <c r="A1340" i="1"/>
  <c r="B1340" i="1"/>
  <c r="A1341" i="1"/>
  <c r="B1341" i="1"/>
  <c r="A1342" i="1"/>
  <c r="B1342" i="1"/>
  <c r="A1343" i="1"/>
  <c r="B1343" i="1"/>
  <c r="A1344" i="1"/>
  <c r="B1344" i="1"/>
  <c r="B1345" i="1"/>
  <c r="A1346" i="1"/>
  <c r="B1346" i="1"/>
  <c r="A1347" i="1"/>
  <c r="B1347" i="1"/>
  <c r="A1348" i="1"/>
  <c r="B1348" i="1"/>
  <c r="B1349" i="1"/>
  <c r="A1350" i="1"/>
  <c r="B1350" i="1"/>
  <c r="A1351" i="1"/>
  <c r="B1351" i="1"/>
  <c r="A1352" i="1"/>
  <c r="B1352" i="1"/>
  <c r="A1353" i="1"/>
  <c r="B1353" i="1"/>
  <c r="A1354" i="1"/>
  <c r="B1354" i="1"/>
  <c r="A1355" i="1"/>
  <c r="B1355" i="1"/>
  <c r="A1356" i="1"/>
  <c r="B1356" i="1"/>
  <c r="A1357" i="1"/>
  <c r="B1357" i="1"/>
  <c r="A1358" i="1"/>
  <c r="B1358" i="1"/>
  <c r="A1359" i="1"/>
  <c r="B1359" i="1"/>
  <c r="A1360" i="1"/>
  <c r="B1360" i="1"/>
  <c r="A1361" i="1"/>
  <c r="B1361" i="1"/>
  <c r="A1362" i="1"/>
  <c r="B1362" i="1"/>
  <c r="A1363" i="1"/>
  <c r="B1363" i="1"/>
  <c r="A1364" i="1"/>
  <c r="B1364" i="1"/>
  <c r="A1365" i="1"/>
  <c r="B1365" i="1"/>
  <c r="A1366" i="1"/>
  <c r="B1366" i="1"/>
  <c r="A1367" i="1"/>
  <c r="B1367" i="1"/>
  <c r="A1368" i="1"/>
  <c r="B1368" i="1"/>
  <c r="A1369" i="1"/>
  <c r="B1369" i="1"/>
  <c r="A1370" i="1"/>
  <c r="B1370" i="1"/>
  <c r="A1371" i="1"/>
  <c r="B1371" i="1"/>
  <c r="A1372" i="1"/>
  <c r="B1372" i="1"/>
  <c r="A1373" i="1"/>
  <c r="B1373" i="1"/>
  <c r="A1374" i="1"/>
  <c r="B1374" i="1"/>
  <c r="A1375" i="1"/>
  <c r="B1375" i="1"/>
  <c r="A1376" i="1"/>
  <c r="B1376" i="1"/>
  <c r="A1377" i="1"/>
  <c r="B1377" i="1"/>
  <c r="A1378" i="1"/>
  <c r="B1378" i="1"/>
  <c r="A1379" i="1"/>
  <c r="B1379" i="1"/>
  <c r="A1380" i="1"/>
  <c r="B1380" i="1"/>
  <c r="A1381" i="1"/>
  <c r="B1381" i="1"/>
  <c r="A1382" i="1"/>
  <c r="B1382" i="1"/>
  <c r="B1383" i="1"/>
  <c r="A1384" i="1"/>
  <c r="B1384" i="1"/>
  <c r="A1385" i="1"/>
  <c r="B1385" i="1"/>
  <c r="B1386" i="1"/>
  <c r="A1387" i="1"/>
  <c r="B1387" i="1"/>
  <c r="A1388" i="1"/>
  <c r="B1388" i="1"/>
  <c r="B1389" i="1"/>
  <c r="A1390" i="1"/>
  <c r="B1390" i="1"/>
  <c r="A1391" i="1"/>
  <c r="B1391" i="1"/>
  <c r="A1392" i="1"/>
  <c r="B1392" i="1"/>
  <c r="A1393" i="1"/>
  <c r="B1393" i="1"/>
  <c r="A1394" i="1"/>
  <c r="B1394" i="1"/>
  <c r="A1395" i="1"/>
  <c r="B1395" i="1"/>
  <c r="A1396" i="1"/>
  <c r="B1396" i="1"/>
  <c r="A1397" i="1"/>
  <c r="B1397" i="1"/>
  <c r="A1398" i="1"/>
  <c r="B1398" i="1"/>
  <c r="A1399" i="1"/>
  <c r="B1399" i="1"/>
  <c r="A1400" i="1"/>
  <c r="B1400" i="1"/>
  <c r="A1401" i="1"/>
  <c r="B1401" i="1"/>
  <c r="A1402" i="1"/>
  <c r="B1402" i="1"/>
  <c r="A1403" i="1"/>
  <c r="B1403" i="1"/>
  <c r="A1404" i="1"/>
  <c r="B1404" i="1"/>
  <c r="A1405" i="1"/>
  <c r="B1405" i="1"/>
  <c r="A1406" i="1"/>
  <c r="B1406" i="1"/>
  <c r="A1407" i="1"/>
  <c r="B1407" i="1"/>
  <c r="A1408" i="1"/>
  <c r="B1408" i="1"/>
  <c r="A1409" i="1"/>
  <c r="B1409" i="1"/>
  <c r="A1410" i="1"/>
  <c r="B1410" i="1"/>
  <c r="A1411" i="1"/>
  <c r="B1411" i="1"/>
  <c r="A1412" i="1"/>
  <c r="B1412" i="1"/>
  <c r="A1413" i="1"/>
  <c r="B1413" i="1"/>
  <c r="A1414" i="1"/>
  <c r="B1414" i="1"/>
  <c r="A1415" i="1"/>
  <c r="B1415" i="1"/>
  <c r="A1416" i="1"/>
  <c r="B1416" i="1"/>
  <c r="A1417" i="1"/>
  <c r="B1417" i="1"/>
  <c r="A1418" i="1"/>
  <c r="B1418" i="1"/>
  <c r="A1419" i="1"/>
  <c r="B1419" i="1"/>
  <c r="A1420" i="1"/>
  <c r="B1420" i="1"/>
  <c r="B1421" i="1"/>
  <c r="A1422" i="1"/>
  <c r="B1422" i="1"/>
  <c r="A1423" i="1"/>
  <c r="B1423" i="1"/>
  <c r="A1424" i="1"/>
  <c r="B1424" i="1"/>
  <c r="A1425" i="1"/>
  <c r="B1425" i="1"/>
  <c r="A1426" i="1"/>
  <c r="B1426" i="1"/>
  <c r="A1427" i="1"/>
  <c r="B1427" i="1"/>
  <c r="A1428" i="1"/>
  <c r="B1428" i="1"/>
  <c r="A1429" i="1"/>
  <c r="B1429" i="1"/>
  <c r="A1430" i="1"/>
  <c r="B1430" i="1"/>
  <c r="A1431" i="1"/>
  <c r="B1431" i="1"/>
  <c r="A1432" i="1"/>
  <c r="B1432" i="1"/>
  <c r="A1433" i="1"/>
  <c r="B1433" i="1"/>
  <c r="A1434" i="1"/>
  <c r="B1434" i="1"/>
  <c r="A1435" i="1"/>
  <c r="B1435" i="1"/>
  <c r="A1436" i="1"/>
  <c r="B1436" i="1"/>
  <c r="A1437" i="1"/>
  <c r="B1437" i="1"/>
  <c r="A1438" i="1"/>
  <c r="B1438" i="1"/>
  <c r="A1439" i="1"/>
  <c r="B1439" i="1"/>
  <c r="A1440" i="1"/>
  <c r="B1440" i="1"/>
  <c r="A1441" i="1"/>
  <c r="B1441" i="1"/>
  <c r="A1442" i="1"/>
  <c r="B1442" i="1"/>
  <c r="A1443" i="1"/>
  <c r="B1443" i="1"/>
  <c r="A1444" i="1"/>
  <c r="B1444" i="1"/>
  <c r="A1445" i="1"/>
  <c r="B1445" i="1"/>
  <c r="A1446" i="1"/>
  <c r="B1446" i="1"/>
  <c r="A1447" i="1"/>
  <c r="B1447" i="1"/>
  <c r="A1448" i="1"/>
  <c r="B1448" i="1"/>
  <c r="A1449" i="1"/>
  <c r="B1449" i="1"/>
  <c r="A1450" i="1"/>
  <c r="B1450" i="1"/>
  <c r="A1451" i="1"/>
  <c r="B1451" i="1"/>
  <c r="A1452" i="1"/>
  <c r="B1452" i="1"/>
  <c r="A1453" i="1"/>
  <c r="B1453" i="1"/>
  <c r="A1454" i="1"/>
  <c r="B1454" i="1"/>
  <c r="A1455" i="1"/>
  <c r="B1455" i="1"/>
  <c r="A1456" i="1"/>
  <c r="B1456" i="1"/>
  <c r="A1457" i="1"/>
  <c r="B1457" i="1"/>
  <c r="A1458" i="1"/>
  <c r="B1458" i="1"/>
  <c r="A1459" i="1"/>
  <c r="B1459" i="1"/>
  <c r="A1460" i="1"/>
  <c r="B1460" i="1"/>
  <c r="A1461" i="1"/>
  <c r="B1461" i="1"/>
  <c r="A1462" i="1"/>
  <c r="B1462" i="1"/>
  <c r="A1463" i="1"/>
  <c r="B1463" i="1"/>
  <c r="A1464" i="1"/>
  <c r="B1464" i="1"/>
  <c r="A1465" i="1"/>
  <c r="B1465" i="1"/>
  <c r="A1466" i="1"/>
  <c r="B1466" i="1"/>
  <c r="A1467" i="1"/>
  <c r="B1467" i="1"/>
  <c r="A1468" i="1"/>
  <c r="B1468" i="1"/>
  <c r="A1469" i="1"/>
  <c r="B1469" i="1"/>
  <c r="A1470" i="1"/>
  <c r="B1470" i="1"/>
  <c r="A1471" i="1"/>
  <c r="B1471" i="1"/>
  <c r="A1472" i="1"/>
  <c r="B1472" i="1"/>
  <c r="A1473" i="1"/>
  <c r="B1473" i="1"/>
  <c r="A1474" i="1"/>
  <c r="B1474" i="1"/>
  <c r="A1475" i="1"/>
  <c r="B1475" i="1"/>
  <c r="A1476" i="1"/>
  <c r="B1476" i="1"/>
  <c r="A1477" i="1"/>
  <c r="B1477" i="1"/>
  <c r="A1478" i="1"/>
  <c r="B1478" i="1"/>
  <c r="A1479" i="1"/>
  <c r="B1479" i="1"/>
  <c r="A1480" i="1"/>
  <c r="B1480" i="1"/>
  <c r="A1481" i="1"/>
  <c r="B1481" i="1"/>
  <c r="A1482" i="1"/>
  <c r="B1482" i="1"/>
  <c r="A1483" i="1"/>
  <c r="B1483" i="1"/>
  <c r="A1484" i="1"/>
  <c r="B1484" i="1"/>
  <c r="A1485" i="1"/>
  <c r="B1485" i="1"/>
  <c r="A1486" i="1"/>
  <c r="B1486" i="1"/>
  <c r="A1487" i="1"/>
  <c r="B1487" i="1"/>
  <c r="A1488" i="1"/>
  <c r="B1488" i="1"/>
  <c r="A1489" i="1"/>
  <c r="B1489" i="1"/>
  <c r="A1490" i="1"/>
  <c r="B1490" i="1"/>
  <c r="A1491" i="1"/>
  <c r="B1491" i="1"/>
  <c r="A1492" i="1"/>
  <c r="B1492" i="1"/>
  <c r="A1493" i="1"/>
  <c r="B1493" i="1"/>
  <c r="A1494" i="1"/>
  <c r="B1494" i="1"/>
  <c r="A1495" i="1"/>
  <c r="B1495" i="1"/>
  <c r="A1496" i="1"/>
  <c r="B1496" i="1"/>
  <c r="A1497" i="1"/>
  <c r="B1497" i="1"/>
  <c r="A1498" i="1"/>
  <c r="B1498" i="1"/>
  <c r="A1499" i="1"/>
  <c r="B1499" i="1"/>
  <c r="A1500" i="1"/>
  <c r="B1500" i="1"/>
  <c r="A1501" i="1"/>
  <c r="B1501" i="1"/>
  <c r="A1502" i="1"/>
  <c r="B1502" i="1"/>
  <c r="A1503" i="1"/>
  <c r="B1503" i="1"/>
  <c r="A1504" i="1"/>
  <c r="B1504" i="1"/>
  <c r="A1505" i="1"/>
  <c r="B1505" i="1"/>
  <c r="A1506" i="1"/>
  <c r="B1506" i="1"/>
  <c r="A1507" i="1"/>
  <c r="B1507" i="1"/>
  <c r="A1508" i="1"/>
  <c r="B1508" i="1"/>
  <c r="A1509" i="1"/>
  <c r="B1509" i="1"/>
  <c r="A1510" i="1"/>
  <c r="B1510" i="1"/>
  <c r="A1511" i="1"/>
  <c r="B1511" i="1"/>
  <c r="A1512" i="1"/>
  <c r="B1512" i="1"/>
  <c r="A1513" i="1"/>
  <c r="B1513" i="1"/>
  <c r="A1514" i="1"/>
  <c r="B1514" i="1"/>
  <c r="A1515" i="1"/>
  <c r="B1515" i="1"/>
  <c r="A1516" i="1"/>
  <c r="B1516" i="1"/>
  <c r="A1517" i="1"/>
  <c r="B1517" i="1"/>
  <c r="A1518" i="1"/>
  <c r="B1518" i="1"/>
  <c r="A1519" i="1"/>
  <c r="B1519" i="1"/>
  <c r="A1520" i="1"/>
  <c r="B1520" i="1"/>
  <c r="A1521" i="1"/>
  <c r="B1521" i="1"/>
  <c r="A1522" i="1"/>
  <c r="B1522" i="1"/>
  <c r="A1523" i="1"/>
  <c r="B1523" i="1"/>
  <c r="A1524" i="1"/>
  <c r="B1524" i="1"/>
  <c r="A1525" i="1"/>
  <c r="B1525" i="1"/>
  <c r="A1526" i="1"/>
  <c r="B1526" i="1"/>
  <c r="A1527" i="1"/>
  <c r="B1527" i="1"/>
  <c r="A1528" i="1"/>
  <c r="B1528" i="1"/>
  <c r="A1529" i="1"/>
  <c r="B1529" i="1"/>
  <c r="A1530" i="1"/>
  <c r="B1530" i="1"/>
  <c r="A1531" i="1"/>
  <c r="B1531" i="1"/>
  <c r="A1532" i="1"/>
  <c r="B1532" i="1"/>
  <c r="A1533" i="1"/>
  <c r="B1533" i="1"/>
  <c r="A1534" i="1"/>
  <c r="B1534" i="1"/>
  <c r="A1535" i="1"/>
  <c r="B1535" i="1"/>
  <c r="A1536" i="1"/>
  <c r="B1536" i="1"/>
  <c r="A1537" i="1"/>
  <c r="B1537" i="1"/>
  <c r="A1538" i="1"/>
  <c r="B1538" i="1"/>
  <c r="A1539" i="1"/>
  <c r="B1539" i="1"/>
  <c r="A1540" i="1"/>
  <c r="B1540" i="1"/>
  <c r="A1541" i="1"/>
  <c r="B1541" i="1"/>
  <c r="A1542" i="1"/>
  <c r="B1542" i="1"/>
  <c r="A1543" i="1"/>
  <c r="B1543" i="1"/>
  <c r="A1544" i="1"/>
  <c r="B1544" i="1"/>
  <c r="A1545" i="1"/>
  <c r="B1545" i="1"/>
  <c r="B1546" i="1"/>
  <c r="A1547" i="1"/>
  <c r="B1547" i="1"/>
  <c r="A1548" i="1"/>
  <c r="B1548" i="1"/>
  <c r="A1549" i="1"/>
  <c r="B1549" i="1"/>
  <c r="A1550" i="1"/>
  <c r="B1550" i="1"/>
  <c r="A1551" i="1"/>
  <c r="B1551" i="1"/>
  <c r="A1552" i="1"/>
  <c r="B1552" i="1"/>
  <c r="B1553" i="1"/>
  <c r="A1554" i="1"/>
  <c r="B1554" i="1"/>
  <c r="A1555" i="1"/>
  <c r="B1555" i="1"/>
  <c r="A1556" i="1"/>
  <c r="B1556" i="1"/>
  <c r="A1557" i="1"/>
  <c r="B1557" i="1"/>
  <c r="A1558" i="1"/>
  <c r="B1558" i="1"/>
  <c r="A1559" i="1"/>
  <c r="B1559" i="1"/>
  <c r="A1560" i="1"/>
  <c r="B1560" i="1"/>
  <c r="B1561" i="1"/>
  <c r="A1562" i="1"/>
  <c r="B1562" i="1"/>
  <c r="A1563" i="1"/>
  <c r="B1563" i="1"/>
  <c r="A1564" i="1"/>
  <c r="B1564" i="1"/>
  <c r="A1565" i="1"/>
  <c r="B1565" i="1"/>
  <c r="A1566" i="1"/>
  <c r="B1566" i="1"/>
  <c r="A1567" i="1"/>
  <c r="B1567" i="1"/>
  <c r="A1568" i="1"/>
  <c r="B1568" i="1"/>
  <c r="A1569" i="1"/>
  <c r="B1569" i="1"/>
  <c r="A1570" i="1"/>
  <c r="B1570" i="1"/>
  <c r="A1571" i="1"/>
  <c r="B1571" i="1"/>
  <c r="A1572" i="1"/>
  <c r="B1572" i="1"/>
  <c r="A1573" i="1"/>
  <c r="B1573" i="1"/>
  <c r="A1574" i="1"/>
  <c r="B1574" i="1"/>
  <c r="A1575" i="1"/>
  <c r="B1575" i="1"/>
  <c r="A1576" i="1"/>
  <c r="B1576" i="1"/>
  <c r="A1577" i="1"/>
  <c r="B1577" i="1"/>
  <c r="A1578" i="1"/>
  <c r="B1578" i="1"/>
  <c r="A1579" i="1"/>
  <c r="B1579" i="1"/>
  <c r="A1580" i="1"/>
  <c r="B1580" i="1"/>
  <c r="A1581" i="1"/>
  <c r="B1581" i="1"/>
  <c r="A1582" i="1"/>
  <c r="B1582" i="1"/>
  <c r="A1583" i="1"/>
  <c r="B1583" i="1"/>
  <c r="A1584" i="1"/>
  <c r="B1584" i="1"/>
  <c r="A1585" i="1"/>
  <c r="B1585" i="1"/>
  <c r="A1586" i="1"/>
  <c r="B1586" i="1"/>
  <c r="B1587" i="1"/>
  <c r="A1588" i="1"/>
  <c r="B1588" i="1"/>
  <c r="A1589" i="1"/>
  <c r="B1589" i="1"/>
  <c r="A1590" i="1"/>
  <c r="B1590" i="1"/>
  <c r="B1591" i="1"/>
  <c r="A1592" i="1"/>
  <c r="B1592" i="1"/>
  <c r="A1593" i="1"/>
  <c r="B1593" i="1"/>
  <c r="A1594" i="1"/>
  <c r="B1594" i="1"/>
  <c r="A1595" i="1"/>
  <c r="B1595" i="1"/>
  <c r="B1596" i="1"/>
  <c r="A1597" i="1"/>
  <c r="B1597" i="1"/>
  <c r="A1598" i="1"/>
  <c r="B1598" i="1"/>
  <c r="A1599" i="1"/>
  <c r="B1599" i="1"/>
  <c r="B1600" i="1"/>
  <c r="A1601" i="1"/>
  <c r="B1601" i="1"/>
  <c r="A1602" i="1"/>
  <c r="B1602" i="1"/>
  <c r="A1603" i="1"/>
  <c r="B1603" i="1"/>
  <c r="A1604" i="1"/>
  <c r="B1604" i="1"/>
  <c r="A1605" i="1"/>
  <c r="B1605" i="1"/>
  <c r="A1606" i="1"/>
  <c r="B1606" i="1"/>
  <c r="B1607" i="1"/>
  <c r="A1608" i="1"/>
  <c r="B1608" i="1"/>
  <c r="A1609" i="1"/>
  <c r="B1609" i="1"/>
  <c r="A1610" i="1"/>
  <c r="B1610" i="1"/>
  <c r="A1611" i="1"/>
  <c r="B1611" i="1"/>
  <c r="A1612" i="1"/>
  <c r="B1612" i="1"/>
  <c r="A1613" i="1"/>
  <c r="B1613" i="1"/>
  <c r="A1614" i="1"/>
  <c r="B1614" i="1"/>
  <c r="A1615" i="1"/>
  <c r="B1615" i="1"/>
  <c r="A1616" i="1"/>
  <c r="B1616" i="1"/>
  <c r="A1617" i="1"/>
  <c r="B1617" i="1"/>
  <c r="A1618" i="1"/>
  <c r="B1618" i="1"/>
  <c r="A1619" i="1"/>
  <c r="B1619" i="1"/>
  <c r="A1620" i="1"/>
  <c r="B1620" i="1"/>
  <c r="A1621" i="1"/>
  <c r="B1621" i="1"/>
  <c r="A1622" i="1"/>
  <c r="B1622" i="1"/>
  <c r="A1623" i="1"/>
  <c r="B1623" i="1"/>
  <c r="A1624" i="1"/>
  <c r="B1624" i="1"/>
  <c r="A1625" i="1"/>
  <c r="B1625" i="1"/>
  <c r="A1626" i="1"/>
  <c r="B1626" i="1"/>
  <c r="A1627" i="1"/>
  <c r="B1627" i="1"/>
  <c r="A1628" i="1"/>
  <c r="B1628" i="1"/>
  <c r="A1629" i="1"/>
  <c r="B1629" i="1"/>
  <c r="A1630" i="1"/>
  <c r="B1630" i="1"/>
  <c r="A1631" i="1"/>
  <c r="B1631" i="1"/>
  <c r="A1632" i="1"/>
  <c r="B1632" i="1"/>
  <c r="A1633" i="1"/>
  <c r="B1633" i="1"/>
  <c r="A1634" i="1"/>
  <c r="B1634" i="1"/>
  <c r="A1635" i="1"/>
  <c r="B1635" i="1"/>
  <c r="A1636" i="1"/>
  <c r="B1636" i="1"/>
  <c r="A1637" i="1"/>
  <c r="B1637" i="1"/>
  <c r="A1638" i="1"/>
  <c r="B1638" i="1"/>
  <c r="A1639" i="1"/>
  <c r="B1639" i="1"/>
  <c r="A1640" i="1"/>
  <c r="B1640" i="1"/>
  <c r="A1641" i="1"/>
  <c r="B1641" i="1"/>
  <c r="A1642" i="1"/>
  <c r="B1642" i="1"/>
  <c r="A1643" i="1"/>
  <c r="B1643" i="1"/>
  <c r="A1644" i="1"/>
  <c r="B1644" i="1"/>
  <c r="A1645" i="1"/>
  <c r="B1645" i="1"/>
  <c r="A1646" i="1"/>
  <c r="B1646" i="1"/>
  <c r="A1647" i="1"/>
  <c r="B1647" i="1"/>
  <c r="A1648" i="1"/>
  <c r="B1648" i="1"/>
  <c r="A1649" i="1"/>
  <c r="B1649" i="1"/>
  <c r="A1650" i="1"/>
  <c r="B1650" i="1"/>
  <c r="A1651" i="1"/>
  <c r="B1651" i="1"/>
  <c r="A1652" i="1"/>
  <c r="B1652" i="1"/>
  <c r="A1653" i="1"/>
  <c r="B1653" i="1"/>
  <c r="A1654" i="1"/>
  <c r="B1654" i="1"/>
  <c r="A1655" i="1"/>
  <c r="B1655" i="1"/>
  <c r="A1656" i="1"/>
  <c r="B1656" i="1"/>
  <c r="A1657" i="1"/>
  <c r="B1657" i="1"/>
  <c r="A1658" i="1"/>
  <c r="B1658" i="1"/>
  <c r="A1659" i="1"/>
  <c r="B1659" i="1"/>
  <c r="A1660" i="1"/>
  <c r="B1660" i="1"/>
  <c r="A1661" i="1"/>
  <c r="B1661" i="1"/>
  <c r="A1662" i="1"/>
  <c r="B1662" i="1"/>
  <c r="A1663" i="1"/>
  <c r="B1663" i="1"/>
  <c r="A1664" i="1"/>
  <c r="B1664" i="1"/>
  <c r="A1665" i="1"/>
  <c r="B1665" i="1"/>
  <c r="A1666" i="1"/>
  <c r="B1666" i="1"/>
  <c r="A1667" i="1"/>
  <c r="B1667" i="1"/>
  <c r="A1668" i="1"/>
  <c r="B1668" i="1"/>
  <c r="A1669" i="1"/>
  <c r="B1669" i="1"/>
  <c r="A1670" i="1"/>
  <c r="B1670" i="1"/>
  <c r="A1671" i="1"/>
  <c r="B1671" i="1"/>
  <c r="A1672" i="1"/>
  <c r="B1672" i="1"/>
  <c r="A1673" i="1"/>
  <c r="B1673" i="1"/>
  <c r="A1674" i="1"/>
  <c r="B1674" i="1"/>
  <c r="B1675" i="1"/>
  <c r="A1676" i="1"/>
  <c r="B1676" i="1"/>
  <c r="A1677" i="1"/>
  <c r="B1677" i="1"/>
  <c r="A1678" i="1"/>
  <c r="B1678" i="1"/>
  <c r="A1679" i="1"/>
  <c r="B1679" i="1"/>
  <c r="A1680" i="1"/>
  <c r="B1680" i="1"/>
  <c r="A1681" i="1"/>
  <c r="B1681" i="1"/>
  <c r="A1682" i="1"/>
  <c r="B1682" i="1"/>
  <c r="A1683" i="1"/>
  <c r="B1683" i="1"/>
  <c r="A1684" i="1"/>
  <c r="B1684" i="1"/>
  <c r="A1685" i="1"/>
  <c r="B1685" i="1"/>
  <c r="A1686" i="1"/>
  <c r="B1686" i="1"/>
  <c r="A1687" i="1"/>
  <c r="B1687" i="1"/>
  <c r="A1688" i="1"/>
  <c r="B1688" i="1"/>
  <c r="A1689" i="1"/>
  <c r="B1689" i="1"/>
  <c r="B1690" i="1"/>
  <c r="A1691" i="1"/>
  <c r="B1691" i="1"/>
  <c r="A1692" i="1"/>
  <c r="B1692" i="1"/>
  <c r="A1693" i="1"/>
  <c r="B1693" i="1"/>
  <c r="A1694" i="1"/>
  <c r="B1694" i="1"/>
  <c r="A1695" i="1"/>
  <c r="B1695" i="1"/>
  <c r="A1696" i="1"/>
  <c r="B1696" i="1"/>
  <c r="A1697" i="1"/>
  <c r="B1697" i="1"/>
  <c r="A1698" i="1"/>
  <c r="B1698" i="1"/>
  <c r="A1699" i="1"/>
  <c r="B1699" i="1"/>
  <c r="A1700" i="1"/>
  <c r="B1700" i="1"/>
  <c r="A1701" i="1"/>
  <c r="B1701" i="1"/>
  <c r="A1702" i="1"/>
  <c r="B1702" i="1"/>
  <c r="A1703" i="1"/>
  <c r="B1703" i="1"/>
  <c r="A1704" i="1"/>
  <c r="B1704" i="1"/>
  <c r="A1705" i="1"/>
  <c r="B1705" i="1"/>
  <c r="A1706" i="1"/>
  <c r="B1706" i="1"/>
  <c r="A1707" i="1"/>
  <c r="B1707" i="1"/>
  <c r="A1708" i="1"/>
  <c r="B1708" i="1"/>
  <c r="B1709" i="1"/>
  <c r="A1710" i="1"/>
  <c r="B1710" i="1"/>
  <c r="A1711" i="1"/>
  <c r="B1711" i="1"/>
  <c r="B1712" i="1"/>
  <c r="A1713" i="1"/>
  <c r="B1713" i="1"/>
  <c r="A1714" i="1"/>
  <c r="B1714" i="1"/>
  <c r="A1715" i="1"/>
  <c r="B1715" i="1"/>
  <c r="A1716" i="1"/>
  <c r="B1716" i="1"/>
  <c r="A1717" i="1"/>
  <c r="B1717" i="1"/>
  <c r="A1718" i="1"/>
  <c r="B1718" i="1"/>
  <c r="A1719" i="1"/>
  <c r="B1719" i="1"/>
  <c r="A1720" i="1"/>
  <c r="B1720" i="1"/>
  <c r="A1721" i="1"/>
  <c r="B1721" i="1"/>
  <c r="A1722" i="1"/>
  <c r="B1722" i="1"/>
  <c r="A1723" i="1"/>
  <c r="B1723" i="1"/>
  <c r="A1724" i="1"/>
  <c r="B1724" i="1"/>
  <c r="A1725" i="1"/>
  <c r="B1725" i="1"/>
  <c r="A1726" i="1"/>
  <c r="B1726" i="1"/>
  <c r="A1727" i="1"/>
  <c r="B1727" i="1"/>
  <c r="A1728" i="1"/>
  <c r="B1728" i="1"/>
  <c r="A1729" i="1"/>
  <c r="B1729" i="1"/>
  <c r="A1730" i="1"/>
  <c r="B1730" i="1"/>
  <c r="A1731" i="1"/>
  <c r="B1731" i="1"/>
  <c r="A1732" i="1"/>
  <c r="B1732" i="1"/>
  <c r="A1733" i="1"/>
  <c r="B1733" i="1"/>
  <c r="A1734" i="1"/>
  <c r="B1734" i="1"/>
  <c r="A1735" i="1"/>
  <c r="B1735" i="1"/>
  <c r="A1736" i="1"/>
  <c r="B1736" i="1"/>
  <c r="A1737" i="1"/>
  <c r="B1737" i="1"/>
  <c r="A1738" i="1"/>
  <c r="B1738" i="1"/>
  <c r="A1739" i="1"/>
  <c r="B1739" i="1"/>
  <c r="A1740" i="1"/>
  <c r="B1740" i="1"/>
  <c r="A1741" i="1"/>
  <c r="B1741" i="1"/>
  <c r="A1742" i="1"/>
  <c r="B1742" i="1"/>
  <c r="A1743" i="1"/>
  <c r="B1743" i="1"/>
  <c r="A1744" i="1"/>
  <c r="B1744" i="1"/>
  <c r="A1745" i="1"/>
  <c r="B1745" i="1"/>
  <c r="A1746" i="1"/>
  <c r="B1746" i="1"/>
  <c r="A1747" i="1"/>
  <c r="B1747" i="1"/>
  <c r="A1748" i="1"/>
  <c r="B1748" i="1"/>
  <c r="A1749" i="1"/>
  <c r="B1749" i="1"/>
  <c r="A1750" i="1"/>
  <c r="B1750" i="1"/>
  <c r="A1751" i="1"/>
  <c r="B1751" i="1"/>
  <c r="A1752" i="1"/>
  <c r="B1752" i="1"/>
  <c r="A1753" i="1"/>
  <c r="B1753" i="1"/>
  <c r="A1754" i="1"/>
  <c r="B1754" i="1"/>
  <c r="A1755" i="1"/>
  <c r="B1755" i="1"/>
  <c r="A1756" i="1"/>
  <c r="B1756" i="1"/>
  <c r="A1757" i="1"/>
  <c r="B1757" i="1"/>
  <c r="A1758" i="1"/>
  <c r="B1758" i="1"/>
  <c r="A1759" i="1"/>
  <c r="B1759" i="1"/>
  <c r="A1760" i="1"/>
  <c r="B1760" i="1"/>
  <c r="A1761" i="1"/>
  <c r="B1761" i="1"/>
  <c r="A1762" i="1"/>
  <c r="B1762" i="1"/>
  <c r="A1763" i="1"/>
  <c r="B1763" i="1"/>
  <c r="A1764" i="1"/>
  <c r="B1764" i="1"/>
  <c r="A1765" i="1"/>
  <c r="B1765" i="1"/>
  <c r="A1766" i="1"/>
  <c r="B1766" i="1"/>
  <c r="A1767" i="1"/>
  <c r="B1767" i="1"/>
  <c r="A1768" i="1"/>
  <c r="B1768" i="1"/>
  <c r="A1769" i="1"/>
  <c r="B1769" i="1"/>
  <c r="A1770" i="1"/>
  <c r="B1770" i="1"/>
  <c r="A1771" i="1"/>
  <c r="B1771" i="1"/>
  <c r="A1772" i="1"/>
  <c r="B1772" i="1"/>
  <c r="A1773" i="1"/>
  <c r="B1773" i="1"/>
  <c r="A1774" i="1"/>
  <c r="B1774" i="1"/>
  <c r="A1775" i="1"/>
  <c r="B1775" i="1"/>
  <c r="A1776" i="1"/>
  <c r="B1776" i="1"/>
  <c r="A1777" i="1"/>
  <c r="B1777" i="1"/>
  <c r="A1778" i="1"/>
  <c r="B1778" i="1"/>
  <c r="A1779" i="1"/>
  <c r="B1779" i="1"/>
  <c r="A1780" i="1"/>
  <c r="B1780" i="1"/>
  <c r="A1781" i="1"/>
  <c r="B1781" i="1"/>
  <c r="A1782" i="1"/>
  <c r="B1782" i="1"/>
  <c r="A1783" i="1"/>
  <c r="B1783" i="1"/>
  <c r="A1784" i="1"/>
  <c r="B1784" i="1"/>
  <c r="A1785" i="1"/>
  <c r="B1785" i="1"/>
  <c r="A1786" i="1"/>
  <c r="B1786" i="1"/>
  <c r="A1787" i="1"/>
  <c r="B1787" i="1"/>
  <c r="A1788" i="1"/>
  <c r="B1788" i="1"/>
  <c r="A1789" i="1"/>
  <c r="B1789" i="1"/>
  <c r="A1790" i="1"/>
  <c r="B1790" i="1"/>
  <c r="A1791" i="1"/>
  <c r="B1791" i="1"/>
  <c r="A1792" i="1"/>
  <c r="B1792" i="1"/>
  <c r="A1793" i="1"/>
  <c r="B1793" i="1"/>
  <c r="A1794" i="1"/>
  <c r="B1794" i="1"/>
  <c r="A1795" i="1"/>
  <c r="B1795" i="1"/>
  <c r="A1796" i="1"/>
  <c r="B1796" i="1"/>
  <c r="A1797" i="1"/>
  <c r="B1797" i="1"/>
  <c r="A1798" i="1"/>
  <c r="B1798" i="1"/>
  <c r="A1799" i="1"/>
  <c r="B1799" i="1"/>
  <c r="A1800" i="1"/>
  <c r="B1800" i="1"/>
  <c r="A1801" i="1"/>
  <c r="B1801" i="1"/>
  <c r="A1802" i="1"/>
  <c r="B1802" i="1"/>
  <c r="A1803" i="1"/>
  <c r="B1803" i="1"/>
  <c r="A1804" i="1"/>
  <c r="B1804" i="1"/>
  <c r="A1805" i="1"/>
  <c r="B1805" i="1"/>
  <c r="A1806" i="1"/>
  <c r="B1806" i="1"/>
  <c r="A1807" i="1"/>
  <c r="B1807" i="1"/>
  <c r="A1808" i="1"/>
  <c r="B1808" i="1"/>
  <c r="A1809" i="1"/>
  <c r="B1809" i="1"/>
  <c r="A1810" i="1"/>
  <c r="B1810" i="1"/>
  <c r="A1811" i="1"/>
  <c r="B1811" i="1"/>
  <c r="A1812" i="1"/>
  <c r="B1812" i="1"/>
  <c r="A1813" i="1"/>
  <c r="B1813" i="1"/>
  <c r="A1814" i="1"/>
  <c r="B1814" i="1"/>
  <c r="A1815" i="1"/>
  <c r="B1815" i="1"/>
  <c r="A1816" i="1"/>
  <c r="B1816" i="1"/>
  <c r="A1817" i="1"/>
  <c r="B1817" i="1"/>
  <c r="A1818" i="1"/>
  <c r="B1818" i="1"/>
  <c r="A1819" i="1"/>
  <c r="B1819" i="1"/>
  <c r="A1820" i="1"/>
  <c r="B1820" i="1"/>
  <c r="A1821" i="1"/>
  <c r="B1821" i="1"/>
  <c r="A1822" i="1"/>
  <c r="B1822" i="1"/>
  <c r="A1823" i="1"/>
  <c r="B1823" i="1"/>
  <c r="A1824" i="1"/>
  <c r="B1824" i="1"/>
  <c r="A1825" i="1"/>
  <c r="B1825" i="1"/>
  <c r="A1826" i="1"/>
  <c r="B1826" i="1"/>
  <c r="A1827" i="1"/>
  <c r="B1827" i="1"/>
  <c r="A1828" i="1"/>
  <c r="B1828" i="1"/>
  <c r="A1829" i="1"/>
  <c r="B1829" i="1"/>
  <c r="A1830" i="1"/>
  <c r="B1830" i="1"/>
  <c r="A1831" i="1"/>
  <c r="B1831" i="1"/>
  <c r="A1832" i="1"/>
  <c r="B1832" i="1"/>
  <c r="A1833" i="1"/>
  <c r="B1833" i="1"/>
  <c r="A1834" i="1"/>
  <c r="B1834" i="1"/>
  <c r="A1835" i="1"/>
  <c r="B1835" i="1"/>
  <c r="A1836" i="1"/>
  <c r="B1836" i="1"/>
  <c r="A1837" i="1"/>
  <c r="B1837" i="1"/>
  <c r="A1838" i="1"/>
  <c r="B1838" i="1"/>
  <c r="A1839" i="1"/>
  <c r="B1839" i="1"/>
  <c r="A1840" i="1"/>
  <c r="B1840" i="1"/>
  <c r="A1841" i="1"/>
  <c r="B1841" i="1"/>
  <c r="A1842" i="1"/>
  <c r="B1842" i="1"/>
  <c r="A1843" i="1"/>
  <c r="B1843" i="1"/>
  <c r="A1844" i="1"/>
  <c r="B1844" i="1"/>
  <c r="A1845" i="1"/>
  <c r="B1845" i="1"/>
  <c r="A1846" i="1"/>
  <c r="B1846" i="1"/>
  <c r="A1847" i="1"/>
  <c r="B1847" i="1"/>
  <c r="A1848" i="1"/>
  <c r="B1848" i="1"/>
  <c r="A1849" i="1"/>
  <c r="B1849" i="1"/>
  <c r="A1850" i="1"/>
  <c r="B1850" i="1"/>
  <c r="A1851" i="1"/>
  <c r="B1851" i="1"/>
  <c r="A1852" i="1"/>
  <c r="B1852" i="1"/>
  <c r="A1853" i="1"/>
  <c r="B1853" i="1"/>
  <c r="A1854" i="1"/>
  <c r="B1854" i="1"/>
  <c r="A1855" i="1"/>
  <c r="B1855" i="1"/>
  <c r="A1856" i="1"/>
  <c r="B1856" i="1"/>
  <c r="A1857" i="1"/>
  <c r="B1857" i="1"/>
  <c r="A1858" i="1"/>
  <c r="B1858" i="1"/>
  <c r="A1859" i="1"/>
  <c r="B1859" i="1"/>
  <c r="A1860" i="1"/>
  <c r="B1860" i="1"/>
  <c r="A1861" i="1"/>
  <c r="B1861" i="1"/>
  <c r="A1862" i="1"/>
  <c r="B1862" i="1"/>
  <c r="A1863" i="1"/>
  <c r="B1863" i="1"/>
  <c r="A1864" i="1"/>
  <c r="B1864" i="1"/>
  <c r="A1865" i="1"/>
  <c r="B1865" i="1"/>
  <c r="A1866" i="1"/>
  <c r="B1866" i="1"/>
  <c r="A1867" i="1"/>
  <c r="B1867" i="1"/>
  <c r="A1868" i="1"/>
  <c r="B1868" i="1"/>
  <c r="A1869" i="1"/>
  <c r="B1869" i="1"/>
  <c r="A1870" i="1"/>
  <c r="B1870" i="1"/>
  <c r="A1871" i="1"/>
  <c r="B1871" i="1"/>
  <c r="A1872" i="1"/>
  <c r="B1872" i="1"/>
  <c r="A1873" i="1"/>
  <c r="B1873" i="1"/>
  <c r="A1874" i="1"/>
  <c r="B1874" i="1"/>
  <c r="A1875" i="1"/>
  <c r="B1875" i="1"/>
  <c r="A1876" i="1"/>
  <c r="B1876" i="1"/>
  <c r="A1877" i="1"/>
  <c r="B1877" i="1"/>
  <c r="A1878" i="1"/>
  <c r="B1878" i="1"/>
  <c r="A1879" i="1"/>
  <c r="B1879" i="1"/>
  <c r="A1880" i="1"/>
  <c r="B1880" i="1"/>
  <c r="A1881" i="1"/>
  <c r="B1881" i="1"/>
  <c r="A1882" i="1"/>
  <c r="B1882" i="1"/>
  <c r="A1883" i="1"/>
  <c r="B1883" i="1"/>
  <c r="A1884" i="1"/>
  <c r="B1884" i="1"/>
  <c r="A1885" i="1"/>
  <c r="B1885" i="1"/>
  <c r="A1886" i="1"/>
  <c r="B1886" i="1"/>
  <c r="A1887" i="1"/>
  <c r="B1887" i="1"/>
  <c r="A1888" i="1"/>
  <c r="B1888" i="1"/>
  <c r="A1889" i="1"/>
  <c r="B1889" i="1"/>
  <c r="A1890" i="1"/>
  <c r="B1890" i="1"/>
  <c r="A1891" i="1"/>
  <c r="B1891" i="1"/>
  <c r="A1892" i="1"/>
  <c r="B1892" i="1"/>
  <c r="A1893" i="1"/>
  <c r="B1893" i="1"/>
  <c r="A1894" i="1"/>
  <c r="B1894" i="1"/>
  <c r="A1895" i="1"/>
  <c r="B1895" i="1"/>
  <c r="A1896" i="1"/>
  <c r="B1896" i="1"/>
  <c r="A1897" i="1"/>
  <c r="B1897" i="1"/>
  <c r="A1898" i="1"/>
  <c r="B1898" i="1"/>
  <c r="A1899" i="1"/>
  <c r="B1899" i="1"/>
  <c r="A1900" i="1"/>
  <c r="B1900" i="1"/>
  <c r="A1901" i="1"/>
  <c r="B1901" i="1"/>
  <c r="A1902" i="1"/>
  <c r="B1902" i="1"/>
  <c r="A1903" i="1"/>
  <c r="B1903" i="1"/>
  <c r="A1904" i="1"/>
  <c r="B1904" i="1"/>
  <c r="A1905" i="1"/>
  <c r="B1905" i="1"/>
  <c r="A1906" i="1"/>
  <c r="B1906" i="1"/>
  <c r="A1907" i="1"/>
  <c r="B1907" i="1"/>
  <c r="A1908" i="1"/>
  <c r="B1908" i="1"/>
  <c r="A1909" i="1"/>
  <c r="B1909" i="1"/>
  <c r="A1910" i="1"/>
  <c r="B1910" i="1"/>
  <c r="A1911" i="1"/>
  <c r="B1911" i="1"/>
  <c r="A1912" i="1"/>
  <c r="B1912" i="1"/>
  <c r="A1913" i="1"/>
  <c r="B1913" i="1"/>
  <c r="A1914" i="1"/>
  <c r="B1914" i="1"/>
  <c r="A1915" i="1"/>
  <c r="B1915" i="1"/>
  <c r="A1916" i="1"/>
  <c r="B1916" i="1"/>
  <c r="A1917" i="1"/>
  <c r="B1917" i="1"/>
  <c r="A1918" i="1"/>
  <c r="B1918" i="1"/>
  <c r="A1919" i="1"/>
  <c r="B1919" i="1"/>
  <c r="A1920" i="1"/>
  <c r="B1920" i="1"/>
  <c r="A1921" i="1"/>
  <c r="B1921" i="1"/>
  <c r="A1922" i="1"/>
  <c r="B1922" i="1"/>
  <c r="A1923" i="1"/>
  <c r="B1923" i="1"/>
  <c r="A1924" i="1"/>
  <c r="B1924" i="1"/>
  <c r="A1925" i="1"/>
  <c r="B1925" i="1"/>
  <c r="A1926" i="1"/>
  <c r="B1926" i="1"/>
  <c r="A1927" i="1"/>
  <c r="B1927" i="1"/>
  <c r="A1928" i="1"/>
  <c r="B1928" i="1"/>
  <c r="A1929" i="1"/>
  <c r="B1929" i="1"/>
  <c r="A1930" i="1"/>
  <c r="B1930" i="1"/>
  <c r="A1931" i="1"/>
  <c r="B1931" i="1"/>
  <c r="A1932" i="1"/>
  <c r="B1932" i="1"/>
  <c r="A1933" i="1"/>
  <c r="B1933" i="1"/>
  <c r="A1934" i="1"/>
  <c r="B1934" i="1"/>
  <c r="A1935" i="1"/>
  <c r="B1935" i="1"/>
  <c r="A1936" i="1"/>
  <c r="B1936" i="1"/>
  <c r="A1937" i="1"/>
  <c r="B1937" i="1"/>
  <c r="A1938" i="1"/>
  <c r="B1938" i="1"/>
  <c r="A1939" i="1"/>
  <c r="B1939" i="1"/>
  <c r="A1940" i="1"/>
  <c r="B1940" i="1"/>
  <c r="A1941" i="1"/>
  <c r="B1941" i="1"/>
  <c r="A1942" i="1"/>
  <c r="B1942" i="1"/>
  <c r="A1943" i="1"/>
  <c r="B1943" i="1"/>
  <c r="A1944" i="1"/>
  <c r="B1944" i="1"/>
  <c r="A1945" i="1"/>
  <c r="B1945" i="1"/>
  <c r="A1946" i="1"/>
  <c r="B1946" i="1"/>
  <c r="A1947" i="1"/>
  <c r="B1947" i="1"/>
  <c r="A1948" i="1"/>
  <c r="B1948" i="1"/>
  <c r="A1949" i="1"/>
  <c r="B1949" i="1"/>
  <c r="A1950" i="1"/>
  <c r="B1950" i="1"/>
  <c r="A1951" i="1"/>
  <c r="B1951" i="1"/>
  <c r="A1952" i="1"/>
  <c r="B1952" i="1"/>
  <c r="A1953" i="1"/>
  <c r="B1953" i="1"/>
  <c r="A1954" i="1"/>
  <c r="B1954" i="1"/>
  <c r="A1955" i="1"/>
  <c r="B1955" i="1"/>
  <c r="A1956" i="1"/>
  <c r="B1956" i="1"/>
  <c r="A1957" i="1"/>
  <c r="B1957" i="1"/>
  <c r="A1958" i="1"/>
  <c r="B1958" i="1"/>
  <c r="A1959" i="1"/>
  <c r="B1959" i="1"/>
  <c r="A1960" i="1"/>
  <c r="B1960" i="1"/>
  <c r="A1961" i="1"/>
  <c r="B1961" i="1"/>
  <c r="A1962" i="1"/>
  <c r="B1962" i="1"/>
  <c r="A1963" i="1"/>
  <c r="B1963" i="1"/>
  <c r="A1964" i="1"/>
  <c r="B1964" i="1"/>
  <c r="A1965" i="1"/>
  <c r="B1965" i="1"/>
  <c r="A1966" i="1"/>
  <c r="B1966" i="1"/>
  <c r="A1967" i="1"/>
  <c r="B1967" i="1"/>
  <c r="A1968" i="1"/>
  <c r="B1968" i="1"/>
  <c r="A1969" i="1"/>
  <c r="B1969" i="1"/>
  <c r="A1970" i="1"/>
  <c r="B1970" i="1"/>
  <c r="A1971" i="1"/>
  <c r="B1971" i="1"/>
  <c r="A1972" i="1"/>
  <c r="B1972" i="1"/>
  <c r="A1973" i="1"/>
  <c r="B1973" i="1"/>
  <c r="A1974" i="1"/>
  <c r="B1974" i="1"/>
  <c r="A1975" i="1"/>
  <c r="B1975" i="1"/>
  <c r="A1976" i="1"/>
  <c r="B1976" i="1"/>
  <c r="A1977" i="1"/>
  <c r="B1977" i="1"/>
  <c r="A1978" i="1"/>
  <c r="B1978" i="1"/>
  <c r="A1979" i="1"/>
  <c r="B1979" i="1"/>
  <c r="A1980" i="1"/>
  <c r="B1980" i="1"/>
  <c r="A1981" i="1"/>
  <c r="B1981" i="1"/>
  <c r="A1982" i="1"/>
  <c r="B1982" i="1"/>
  <c r="A1983" i="1"/>
  <c r="B1983" i="1"/>
  <c r="A1984" i="1"/>
  <c r="B1984" i="1"/>
  <c r="A1985" i="1"/>
  <c r="B1985" i="1"/>
  <c r="A1986" i="1"/>
  <c r="B1986" i="1"/>
  <c r="A1987" i="1"/>
  <c r="B1987" i="1"/>
  <c r="A1988" i="1"/>
  <c r="B1988" i="1"/>
  <c r="A1989" i="1"/>
  <c r="B1989" i="1"/>
  <c r="A1990" i="1"/>
  <c r="B1990" i="1"/>
  <c r="A1991" i="1"/>
  <c r="B1991" i="1"/>
  <c r="A1992" i="1"/>
  <c r="B1992" i="1"/>
  <c r="A1993" i="1"/>
  <c r="B1993" i="1"/>
  <c r="A1994" i="1"/>
  <c r="B1994" i="1"/>
  <c r="A1995" i="1"/>
  <c r="B1995" i="1"/>
  <c r="A1996" i="1"/>
  <c r="B1996" i="1"/>
  <c r="A1997" i="1"/>
  <c r="B1997" i="1"/>
  <c r="A1998" i="1"/>
  <c r="B1998" i="1"/>
  <c r="A1999" i="1"/>
  <c r="B1999" i="1"/>
  <c r="A2000" i="1"/>
  <c r="B2000" i="1"/>
  <c r="A2001" i="1"/>
  <c r="B2001" i="1"/>
  <c r="A2002" i="1"/>
  <c r="B2002" i="1"/>
  <c r="A2003" i="1"/>
  <c r="B2003" i="1"/>
  <c r="A2004" i="1"/>
  <c r="B2004" i="1"/>
  <c r="A2005" i="1"/>
  <c r="B2005" i="1"/>
  <c r="A2006" i="1"/>
  <c r="B2006" i="1"/>
  <c r="A2007" i="1"/>
  <c r="B2007" i="1"/>
  <c r="A2008" i="1"/>
  <c r="B2008" i="1"/>
  <c r="A2009" i="1"/>
  <c r="B2009" i="1"/>
  <c r="A2010" i="1"/>
  <c r="B2010" i="1"/>
  <c r="A2011" i="1"/>
  <c r="B2011" i="1"/>
  <c r="A2012" i="1"/>
  <c r="B2012" i="1"/>
  <c r="A2013" i="1"/>
  <c r="B2013" i="1"/>
  <c r="A2014" i="1"/>
  <c r="B2014" i="1"/>
  <c r="A2015" i="1"/>
  <c r="B2015" i="1"/>
  <c r="A2016" i="1"/>
  <c r="B2016" i="1"/>
  <c r="A2017" i="1"/>
  <c r="B2017" i="1"/>
  <c r="A2018" i="1"/>
  <c r="B2018" i="1"/>
  <c r="A2019" i="1"/>
  <c r="B2019" i="1"/>
  <c r="A2020" i="1"/>
  <c r="B2020" i="1"/>
  <c r="A2021" i="1"/>
  <c r="B2021" i="1"/>
  <c r="A2022" i="1"/>
  <c r="B2022" i="1"/>
  <c r="A2023" i="1"/>
  <c r="B2023" i="1"/>
  <c r="A2024" i="1"/>
  <c r="B2024" i="1"/>
  <c r="A2025" i="1"/>
  <c r="B2025" i="1"/>
  <c r="A2026" i="1"/>
  <c r="B2026" i="1"/>
  <c r="A2027" i="1"/>
  <c r="B2027" i="1"/>
  <c r="A2028" i="1"/>
  <c r="B2028" i="1"/>
  <c r="A2029" i="1"/>
  <c r="B2029" i="1"/>
  <c r="A2030" i="1"/>
  <c r="B2030" i="1"/>
  <c r="A2031" i="1"/>
  <c r="B2031" i="1"/>
  <c r="A2032" i="1"/>
  <c r="B2032" i="1"/>
  <c r="A2033" i="1"/>
  <c r="B2033" i="1"/>
  <c r="A2034" i="1"/>
  <c r="B2034" i="1"/>
  <c r="A2035" i="1"/>
  <c r="B2035" i="1"/>
  <c r="A2036" i="1"/>
  <c r="B2036" i="1"/>
  <c r="A2037" i="1"/>
  <c r="B2037" i="1"/>
  <c r="A2038" i="1"/>
  <c r="B2038" i="1"/>
  <c r="A2039" i="1"/>
  <c r="B2039" i="1"/>
  <c r="A2040" i="1"/>
  <c r="B2040" i="1"/>
  <c r="A2041" i="1"/>
  <c r="B2041" i="1"/>
  <c r="A2042" i="1"/>
  <c r="B2042" i="1"/>
  <c r="A2043" i="1"/>
  <c r="B2043" i="1"/>
  <c r="A2044" i="1"/>
  <c r="B2044" i="1"/>
  <c r="A2045" i="1"/>
  <c r="B2045" i="1"/>
  <c r="A2046" i="1"/>
  <c r="B2046" i="1"/>
  <c r="A2047" i="1"/>
  <c r="B2047" i="1"/>
  <c r="A2048" i="1"/>
  <c r="B2048" i="1"/>
  <c r="A2049" i="1"/>
  <c r="B2049" i="1"/>
  <c r="A2050" i="1"/>
  <c r="B2050" i="1"/>
  <c r="A2051" i="1"/>
  <c r="B2051" i="1"/>
  <c r="A2052" i="1"/>
  <c r="B2052" i="1"/>
  <c r="A2053" i="1"/>
  <c r="B2053" i="1"/>
  <c r="A2054" i="1"/>
  <c r="B2054" i="1"/>
  <c r="A2055" i="1"/>
  <c r="B2055" i="1"/>
  <c r="A2056" i="1"/>
  <c r="B2056" i="1"/>
  <c r="A2057" i="1"/>
  <c r="B2057" i="1"/>
  <c r="A2058" i="1"/>
  <c r="B2058" i="1"/>
  <c r="A2059" i="1"/>
  <c r="B2059" i="1"/>
  <c r="A2060" i="1"/>
  <c r="B2060" i="1"/>
  <c r="A2061" i="1"/>
  <c r="B2061" i="1"/>
  <c r="A2062" i="1"/>
  <c r="B2062" i="1"/>
  <c r="A2063" i="1"/>
  <c r="B2063" i="1"/>
  <c r="A2064" i="1"/>
  <c r="B2064" i="1"/>
  <c r="A2065" i="1"/>
  <c r="B2065" i="1"/>
  <c r="A2066" i="1"/>
  <c r="B2066" i="1"/>
  <c r="A2067" i="1"/>
  <c r="B2067" i="1"/>
  <c r="A2068" i="1"/>
  <c r="B2068" i="1"/>
  <c r="A2069" i="1"/>
  <c r="B2069" i="1"/>
  <c r="A2070" i="1"/>
  <c r="B2070" i="1"/>
  <c r="A2071" i="1"/>
  <c r="B2071" i="1"/>
  <c r="A2072" i="1"/>
  <c r="B2072" i="1"/>
  <c r="A2073" i="1"/>
  <c r="B2073" i="1"/>
  <c r="A2074" i="1"/>
  <c r="B2074" i="1"/>
  <c r="A2075" i="1"/>
  <c r="B2075" i="1"/>
  <c r="A2076" i="1"/>
  <c r="B2076" i="1"/>
  <c r="A2077" i="1"/>
  <c r="B2077" i="1"/>
  <c r="A2078" i="1"/>
  <c r="B2078" i="1"/>
  <c r="A2079" i="1"/>
  <c r="B2079" i="1"/>
  <c r="A2080" i="1"/>
  <c r="B2080" i="1"/>
  <c r="A2081" i="1"/>
  <c r="B2081" i="1"/>
  <c r="A2082" i="1"/>
  <c r="B2082" i="1"/>
  <c r="A2083" i="1"/>
  <c r="B2083" i="1"/>
  <c r="A2084" i="1"/>
  <c r="B2084" i="1"/>
  <c r="A2085" i="1"/>
  <c r="B2085" i="1"/>
  <c r="A2086" i="1"/>
  <c r="B2086" i="1"/>
  <c r="A2087" i="1"/>
  <c r="B2087" i="1"/>
  <c r="A2088" i="1"/>
  <c r="B2088" i="1"/>
  <c r="A2089" i="1"/>
  <c r="B2089" i="1"/>
  <c r="A2090" i="1"/>
  <c r="B2090" i="1"/>
  <c r="A2091" i="1"/>
  <c r="B2091" i="1"/>
  <c r="A2092" i="1"/>
  <c r="B2092" i="1"/>
  <c r="A2093" i="1"/>
  <c r="B2093" i="1"/>
  <c r="A2094" i="1"/>
  <c r="B2094" i="1"/>
  <c r="A2095" i="1"/>
  <c r="B2095" i="1"/>
  <c r="A2096" i="1"/>
  <c r="B2096" i="1"/>
  <c r="A2097" i="1"/>
  <c r="B2097" i="1"/>
  <c r="A2098" i="1"/>
  <c r="B2098" i="1"/>
  <c r="A2099" i="1"/>
  <c r="B2099" i="1"/>
  <c r="A2100" i="1"/>
  <c r="B2100" i="1"/>
  <c r="A2101" i="1"/>
  <c r="B2101" i="1"/>
  <c r="A2102" i="1"/>
  <c r="B2102" i="1"/>
  <c r="A2103" i="1"/>
  <c r="B2103" i="1"/>
  <c r="A2104" i="1"/>
  <c r="B2104" i="1"/>
  <c r="A2105" i="1"/>
  <c r="B2105" i="1"/>
  <c r="A2106" i="1"/>
  <c r="B2106" i="1"/>
  <c r="A2107" i="1"/>
  <c r="B2107" i="1"/>
  <c r="A2108" i="1"/>
  <c r="B2108" i="1"/>
  <c r="A2109" i="1"/>
  <c r="B2109" i="1"/>
  <c r="A2110" i="1"/>
  <c r="B2110" i="1"/>
  <c r="A2111" i="1"/>
  <c r="B2111" i="1"/>
  <c r="A2112" i="1"/>
  <c r="B2112" i="1"/>
  <c r="A2113" i="1"/>
  <c r="B2113" i="1"/>
  <c r="A2114" i="1"/>
  <c r="B2114" i="1"/>
  <c r="A2115" i="1"/>
  <c r="B2115" i="1"/>
  <c r="A2116" i="1"/>
  <c r="B2116" i="1"/>
  <c r="A2117" i="1"/>
  <c r="B2117" i="1"/>
  <c r="A2118" i="1"/>
  <c r="B2118" i="1"/>
  <c r="A2119" i="1"/>
  <c r="B2119" i="1"/>
  <c r="A2120" i="1"/>
  <c r="B2120" i="1"/>
  <c r="A2121" i="1"/>
  <c r="B2121" i="1"/>
  <c r="A2122" i="1"/>
  <c r="B2122" i="1"/>
  <c r="A2123" i="1"/>
  <c r="B2123" i="1"/>
  <c r="A2124" i="1"/>
  <c r="B2124" i="1"/>
  <c r="A2125" i="1"/>
  <c r="B2125" i="1"/>
  <c r="A2126" i="1"/>
  <c r="B2126" i="1"/>
  <c r="A2127" i="1"/>
  <c r="B2127" i="1"/>
  <c r="A2128" i="1"/>
  <c r="B2128" i="1"/>
  <c r="A2129" i="1"/>
  <c r="B2129" i="1"/>
  <c r="A2130" i="1"/>
  <c r="B2130" i="1"/>
  <c r="A2131" i="1"/>
  <c r="B2131" i="1"/>
  <c r="A2132" i="1"/>
  <c r="B2132" i="1"/>
  <c r="A2133" i="1"/>
  <c r="B2133" i="1"/>
  <c r="A2134" i="1"/>
  <c r="B2134" i="1"/>
  <c r="A2135" i="1"/>
  <c r="B2135" i="1"/>
  <c r="A2136" i="1"/>
  <c r="B2136" i="1"/>
  <c r="A2137" i="1"/>
  <c r="B2137" i="1"/>
  <c r="A2138" i="1"/>
  <c r="B2138" i="1"/>
  <c r="A2139" i="1"/>
  <c r="B2139" i="1"/>
  <c r="A2140" i="1"/>
  <c r="B2140" i="1"/>
  <c r="A2141" i="1"/>
  <c r="B2141" i="1"/>
  <c r="A2142" i="1"/>
  <c r="B2142" i="1"/>
  <c r="A2143" i="1"/>
  <c r="B2143" i="1"/>
  <c r="A2144" i="1"/>
  <c r="B2144" i="1"/>
  <c r="A2145" i="1"/>
  <c r="B2145" i="1"/>
  <c r="A2146" i="1"/>
  <c r="B2146" i="1"/>
  <c r="A2147" i="1"/>
  <c r="B2147" i="1"/>
  <c r="A2148" i="1"/>
  <c r="B2148" i="1"/>
  <c r="A2149" i="1"/>
  <c r="B2149" i="1"/>
  <c r="A2150" i="1"/>
  <c r="B2150" i="1"/>
  <c r="A2151" i="1"/>
  <c r="B2151" i="1"/>
  <c r="A2152" i="1"/>
  <c r="B2152" i="1"/>
  <c r="A2153" i="1"/>
  <c r="B2153" i="1"/>
  <c r="A2154" i="1"/>
  <c r="B2154" i="1"/>
  <c r="A2155" i="1"/>
  <c r="B2155" i="1"/>
  <c r="A2156" i="1"/>
  <c r="B2156" i="1"/>
  <c r="A2157" i="1"/>
  <c r="B2157" i="1"/>
  <c r="A2158" i="1"/>
  <c r="B2158" i="1"/>
  <c r="A2159" i="1"/>
  <c r="B2159" i="1"/>
  <c r="A2160" i="1"/>
  <c r="B2160" i="1"/>
  <c r="A2161" i="1"/>
  <c r="B2161" i="1"/>
  <c r="A2162" i="1"/>
  <c r="B2162" i="1"/>
  <c r="A2163" i="1"/>
  <c r="B2163" i="1"/>
  <c r="A2164" i="1"/>
  <c r="B2164" i="1"/>
  <c r="A2165" i="1"/>
  <c r="B2165" i="1"/>
  <c r="A2166" i="1"/>
  <c r="B2166" i="1"/>
  <c r="A2167" i="1"/>
  <c r="B2167" i="1"/>
  <c r="A2168" i="1"/>
  <c r="B2168" i="1"/>
  <c r="A2169" i="1"/>
  <c r="B2169" i="1"/>
  <c r="A2170" i="1"/>
  <c r="B2170" i="1"/>
  <c r="A2171" i="1"/>
  <c r="B2171" i="1"/>
  <c r="A2172" i="1"/>
  <c r="B2172" i="1"/>
  <c r="A2173" i="1"/>
  <c r="B2173" i="1"/>
  <c r="A2174" i="1"/>
  <c r="B2174" i="1"/>
  <c r="A2175" i="1"/>
  <c r="B2175" i="1"/>
  <c r="A2176" i="1"/>
  <c r="B2176" i="1"/>
  <c r="A2177" i="1"/>
  <c r="B2177" i="1"/>
  <c r="A2178" i="1"/>
  <c r="B2178" i="1"/>
  <c r="A2179" i="1"/>
  <c r="B2179" i="1"/>
  <c r="A2180" i="1"/>
  <c r="B2180" i="1"/>
  <c r="A2181" i="1"/>
  <c r="B2181" i="1"/>
  <c r="A2182" i="1"/>
  <c r="B2182" i="1"/>
  <c r="A2183" i="1"/>
  <c r="B2183" i="1"/>
  <c r="A2184" i="1"/>
  <c r="B2184" i="1"/>
  <c r="A2185" i="1"/>
  <c r="B2185" i="1"/>
  <c r="A2186" i="1"/>
  <c r="B2186" i="1"/>
  <c r="A2187" i="1"/>
  <c r="B2187" i="1"/>
  <c r="A2188" i="1"/>
  <c r="B2188" i="1"/>
  <c r="A2189" i="1"/>
  <c r="B2189" i="1"/>
  <c r="A2190" i="1"/>
  <c r="B2190" i="1"/>
  <c r="A2191" i="1"/>
  <c r="B2191" i="1"/>
  <c r="A2192" i="1"/>
  <c r="B2192" i="1"/>
  <c r="A2193" i="1"/>
  <c r="B2193" i="1"/>
  <c r="A2194" i="1"/>
  <c r="B2194" i="1"/>
  <c r="A2195" i="1"/>
  <c r="B2195" i="1"/>
  <c r="A2196" i="1"/>
  <c r="B2196" i="1"/>
  <c r="A2197" i="1"/>
  <c r="B2197" i="1"/>
  <c r="A2198" i="1"/>
  <c r="B2198" i="1"/>
  <c r="A2199" i="1"/>
  <c r="B2199" i="1"/>
  <c r="A2200" i="1"/>
  <c r="B2200" i="1"/>
  <c r="A2201" i="1"/>
  <c r="B2201" i="1"/>
  <c r="A2202" i="1"/>
  <c r="B2202" i="1"/>
  <c r="A2203" i="1"/>
  <c r="B2203" i="1"/>
  <c r="A2204" i="1"/>
  <c r="B2204" i="1"/>
  <c r="A2205" i="1"/>
  <c r="B2205" i="1"/>
  <c r="A2206" i="1"/>
  <c r="B2206" i="1"/>
  <c r="A2207" i="1"/>
  <c r="B2207" i="1"/>
  <c r="A2208" i="1"/>
  <c r="B2208" i="1"/>
  <c r="A2209" i="1"/>
  <c r="B2209" i="1"/>
  <c r="A2210" i="1"/>
  <c r="B2210" i="1"/>
  <c r="A2211" i="1"/>
  <c r="B2211" i="1"/>
  <c r="A2212" i="1"/>
  <c r="B2212" i="1"/>
  <c r="A2213" i="1"/>
  <c r="B2213" i="1"/>
  <c r="A2214" i="1"/>
  <c r="B2214" i="1"/>
  <c r="A2215" i="1"/>
  <c r="B2215" i="1"/>
  <c r="A2216" i="1"/>
  <c r="B2216" i="1"/>
  <c r="A2217" i="1"/>
  <c r="B2217" i="1"/>
  <c r="A2218" i="1"/>
  <c r="B2218" i="1"/>
  <c r="A2219" i="1"/>
  <c r="B2219" i="1"/>
  <c r="A2220" i="1"/>
  <c r="B2220" i="1"/>
  <c r="A2221" i="1"/>
  <c r="B2221" i="1"/>
  <c r="A2222" i="1"/>
  <c r="B2222" i="1"/>
  <c r="A2223" i="1"/>
  <c r="B2223" i="1"/>
  <c r="A2224" i="1"/>
  <c r="B2224" i="1"/>
  <c r="A2225" i="1"/>
  <c r="B2225" i="1"/>
  <c r="A2226" i="1"/>
  <c r="B2226" i="1"/>
  <c r="A2227" i="1"/>
  <c r="B2227" i="1"/>
  <c r="A2228" i="1"/>
  <c r="B2228" i="1"/>
  <c r="A2229" i="1"/>
  <c r="B2229" i="1"/>
  <c r="A2230" i="1"/>
  <c r="B2230" i="1"/>
  <c r="A2231" i="1"/>
  <c r="B2231" i="1"/>
  <c r="A2232" i="1"/>
  <c r="B2232" i="1"/>
  <c r="A2233" i="1"/>
  <c r="B2233" i="1"/>
  <c r="A2234" i="1"/>
  <c r="B2234" i="1"/>
  <c r="A2235" i="1"/>
  <c r="B2235" i="1"/>
  <c r="A2236" i="1"/>
  <c r="B2236" i="1"/>
  <c r="A2237" i="1"/>
  <c r="B2237" i="1"/>
  <c r="A2238" i="1"/>
  <c r="B2238" i="1"/>
  <c r="A2239" i="1"/>
  <c r="B2239" i="1"/>
  <c r="A2240" i="1"/>
  <c r="B2240" i="1"/>
  <c r="A2241" i="1"/>
  <c r="B2241" i="1"/>
  <c r="A2242" i="1"/>
  <c r="B2242" i="1"/>
  <c r="A2243" i="1"/>
  <c r="B2243" i="1"/>
  <c r="A2244" i="1"/>
  <c r="B2244" i="1"/>
  <c r="A2245" i="1"/>
  <c r="B2245" i="1"/>
  <c r="A2246" i="1"/>
  <c r="B2246" i="1"/>
  <c r="A2247" i="1"/>
  <c r="B2247" i="1"/>
  <c r="A2248" i="1"/>
  <c r="B2248" i="1"/>
  <c r="A2249" i="1"/>
  <c r="B2249" i="1"/>
  <c r="A2250" i="1"/>
  <c r="B2250" i="1"/>
  <c r="A2251" i="1"/>
  <c r="B2251" i="1"/>
  <c r="A2252" i="1"/>
  <c r="B2252" i="1"/>
  <c r="A2253" i="1"/>
  <c r="B2253" i="1"/>
  <c r="A2254" i="1"/>
  <c r="B2254" i="1"/>
  <c r="A2255" i="1"/>
  <c r="B2255" i="1"/>
  <c r="A2256" i="1"/>
  <c r="B2256" i="1"/>
  <c r="A2257" i="1"/>
  <c r="B2257" i="1"/>
  <c r="A2258" i="1"/>
  <c r="B2258" i="1"/>
  <c r="A2259" i="1"/>
  <c r="B2259" i="1"/>
  <c r="A2260" i="1"/>
  <c r="B2260" i="1"/>
  <c r="A2261" i="1"/>
  <c r="B2261" i="1"/>
  <c r="A2262" i="1"/>
  <c r="B2262" i="1"/>
  <c r="A2263" i="1"/>
  <c r="B2263" i="1"/>
  <c r="A2264" i="1"/>
  <c r="B2264" i="1"/>
  <c r="A2265" i="1"/>
  <c r="B2265" i="1"/>
  <c r="A2266" i="1"/>
  <c r="B2266" i="1"/>
  <c r="A2267" i="1"/>
  <c r="B2267" i="1"/>
  <c r="A2268" i="1"/>
  <c r="B2268" i="1"/>
  <c r="A2269" i="1"/>
  <c r="B2269" i="1"/>
  <c r="A2270" i="1"/>
  <c r="B2270" i="1"/>
  <c r="A2271" i="1"/>
  <c r="B2271" i="1"/>
  <c r="A2272" i="1"/>
  <c r="B2272" i="1"/>
  <c r="A2273" i="1"/>
  <c r="B2273" i="1"/>
  <c r="A2274" i="1"/>
  <c r="B2274" i="1"/>
  <c r="A2275" i="1"/>
  <c r="B2275" i="1"/>
  <c r="A2276" i="1"/>
  <c r="B2276" i="1"/>
  <c r="A2277" i="1"/>
  <c r="B2277" i="1"/>
  <c r="A2278" i="1"/>
  <c r="B2278" i="1"/>
  <c r="A2279" i="1"/>
  <c r="B2279" i="1"/>
  <c r="A2280" i="1"/>
  <c r="B2280" i="1"/>
  <c r="A2281" i="1"/>
  <c r="B2281" i="1"/>
  <c r="A2282" i="1"/>
  <c r="B2282" i="1"/>
  <c r="A2283" i="1"/>
  <c r="B2283" i="1"/>
  <c r="A2284" i="1"/>
  <c r="B2284" i="1"/>
  <c r="A2285" i="1"/>
  <c r="B2285" i="1"/>
  <c r="A2286" i="1"/>
  <c r="B2286" i="1"/>
  <c r="A2287" i="1"/>
  <c r="B2287" i="1"/>
  <c r="A2288" i="1"/>
  <c r="B2288" i="1"/>
  <c r="A2289" i="1"/>
  <c r="B2289" i="1"/>
  <c r="A2290" i="1"/>
  <c r="B2290" i="1"/>
  <c r="A2291" i="1"/>
  <c r="B2291" i="1"/>
  <c r="A2292" i="1"/>
  <c r="B2292" i="1"/>
  <c r="A2293" i="1"/>
  <c r="B2293" i="1"/>
  <c r="A2294" i="1"/>
  <c r="B2294" i="1"/>
  <c r="A2295" i="1"/>
  <c r="B2295" i="1"/>
  <c r="A2296" i="1"/>
  <c r="B2296" i="1"/>
  <c r="A2297" i="1"/>
  <c r="B2297" i="1"/>
  <c r="A2298" i="1"/>
  <c r="B2298" i="1"/>
  <c r="A2299" i="1"/>
  <c r="B2299" i="1"/>
  <c r="A2300" i="1"/>
  <c r="B2300" i="1"/>
  <c r="A2301" i="1"/>
  <c r="B2301" i="1"/>
  <c r="A2302" i="1"/>
  <c r="B2302" i="1"/>
  <c r="A2303" i="1"/>
  <c r="B2303" i="1"/>
  <c r="A2304" i="1"/>
  <c r="B2304" i="1"/>
  <c r="A2305" i="1"/>
  <c r="B2305" i="1"/>
  <c r="A2306" i="1"/>
  <c r="B2306" i="1"/>
  <c r="A2307" i="1"/>
  <c r="B2307" i="1"/>
  <c r="A2308" i="1"/>
  <c r="B2308" i="1"/>
  <c r="A2309" i="1"/>
  <c r="B2309" i="1"/>
  <c r="A2310" i="1"/>
  <c r="B2310" i="1"/>
  <c r="A2311" i="1"/>
  <c r="B2311" i="1"/>
  <c r="A2312" i="1"/>
  <c r="B2312" i="1"/>
  <c r="A2313" i="1"/>
  <c r="B2313" i="1"/>
  <c r="A2314" i="1"/>
  <c r="B2314" i="1"/>
  <c r="A2315" i="1"/>
  <c r="B2315" i="1"/>
  <c r="A2316" i="1"/>
  <c r="B2316" i="1"/>
  <c r="A2317" i="1"/>
  <c r="B2317" i="1"/>
  <c r="A2318" i="1"/>
  <c r="B2318" i="1"/>
  <c r="A2319" i="1"/>
  <c r="B2319" i="1"/>
  <c r="A2320" i="1"/>
  <c r="B2320" i="1"/>
  <c r="A2321" i="1"/>
  <c r="B2321" i="1"/>
  <c r="A2322" i="1"/>
  <c r="B2322" i="1"/>
  <c r="A2323" i="1"/>
  <c r="B2323" i="1"/>
  <c r="A2324" i="1"/>
  <c r="B2324" i="1"/>
  <c r="A2325" i="1"/>
  <c r="B2325" i="1"/>
  <c r="A2326" i="1"/>
  <c r="B2326" i="1"/>
  <c r="A2327" i="1"/>
  <c r="B2327" i="1"/>
  <c r="A2328" i="1"/>
  <c r="B2328" i="1"/>
  <c r="A2329" i="1"/>
  <c r="B2329" i="1"/>
  <c r="A2330" i="1"/>
  <c r="B2330" i="1"/>
  <c r="A2331" i="1"/>
  <c r="B2331" i="1"/>
  <c r="A2332" i="1"/>
  <c r="B2332" i="1"/>
  <c r="A2333" i="1"/>
  <c r="B2333" i="1"/>
  <c r="A2334" i="1"/>
  <c r="B2334" i="1"/>
  <c r="A2335" i="1"/>
  <c r="B2335" i="1"/>
  <c r="A2336" i="1"/>
  <c r="B2336" i="1"/>
  <c r="A2337" i="1"/>
  <c r="B2337" i="1"/>
  <c r="A2338" i="1"/>
  <c r="B2338" i="1"/>
  <c r="A2339" i="1"/>
  <c r="B2339" i="1"/>
  <c r="A2340" i="1"/>
  <c r="B2340" i="1"/>
  <c r="A2341" i="1"/>
  <c r="B2341" i="1"/>
  <c r="A2342" i="1"/>
  <c r="B2342" i="1"/>
  <c r="A2343" i="1"/>
  <c r="B2343" i="1"/>
  <c r="A2344" i="1"/>
  <c r="B2344" i="1"/>
  <c r="A2345" i="1"/>
  <c r="B2345" i="1"/>
  <c r="A2346" i="1"/>
  <c r="B2346" i="1"/>
  <c r="A2347" i="1"/>
  <c r="B2347" i="1"/>
  <c r="A2348" i="1"/>
  <c r="B2348" i="1"/>
  <c r="A2349" i="1"/>
  <c r="B2349" i="1"/>
  <c r="A2350" i="1"/>
  <c r="B2350" i="1"/>
  <c r="A2351" i="1"/>
  <c r="B2351" i="1"/>
  <c r="A2352" i="1"/>
  <c r="B2352" i="1"/>
  <c r="A2353" i="1"/>
  <c r="B2353" i="1"/>
  <c r="A2354" i="1"/>
  <c r="B2354" i="1"/>
  <c r="A2355" i="1"/>
  <c r="B2355" i="1"/>
  <c r="A2356" i="1"/>
  <c r="B2356" i="1"/>
  <c r="A2357" i="1"/>
  <c r="B2357" i="1"/>
  <c r="A2358" i="1"/>
  <c r="B2358" i="1"/>
  <c r="A2359" i="1"/>
  <c r="B2359" i="1"/>
  <c r="A2360" i="1"/>
  <c r="B2360" i="1"/>
  <c r="A2361" i="1"/>
  <c r="B2361" i="1"/>
  <c r="A2362" i="1"/>
  <c r="B2362" i="1"/>
  <c r="A2363" i="1"/>
  <c r="B2363" i="1"/>
  <c r="A2364" i="1"/>
  <c r="B2364" i="1"/>
  <c r="A2365" i="1"/>
  <c r="B2365" i="1"/>
  <c r="A2366" i="1"/>
  <c r="B2366" i="1"/>
  <c r="A2367" i="1"/>
  <c r="B2367" i="1"/>
  <c r="A2368" i="1"/>
  <c r="B2368" i="1"/>
  <c r="A2369" i="1"/>
  <c r="B2369" i="1"/>
  <c r="A2370" i="1"/>
  <c r="B2370" i="1"/>
  <c r="A2371" i="1"/>
  <c r="B2371" i="1"/>
  <c r="A2372" i="1"/>
  <c r="B2372" i="1"/>
  <c r="A2373" i="1"/>
  <c r="B2373" i="1"/>
  <c r="A2374" i="1"/>
  <c r="B2374" i="1"/>
  <c r="A2375" i="1"/>
  <c r="B2375" i="1"/>
  <c r="A2376" i="1"/>
  <c r="B2376" i="1"/>
  <c r="A2377" i="1"/>
  <c r="B2377" i="1"/>
  <c r="A2378" i="1"/>
  <c r="B2378" i="1"/>
</calcChain>
</file>

<file path=xl/sharedStrings.xml><?xml version="1.0" encoding="utf-8"?>
<sst xmlns="http://schemas.openxmlformats.org/spreadsheetml/2006/main" count="19" uniqueCount="19">
  <si>
    <t>Produced:</t>
  </si>
  <si>
    <t>Mois(C):</t>
  </si>
  <si>
    <t>Annee(C):</t>
  </si>
  <si>
    <t>BUREAU(C):</t>
  </si>
  <si>
    <t>SYSCOM(C):</t>
  </si>
  <si>
    <t>FLUX(C):</t>
  </si>
  <si>
    <t>PROVDEST(C):</t>
  </si>
  <si>
    <t>PARTENAIRE(L):</t>
  </si>
  <si>
    <t>Y Axis (1)</t>
  </si>
  <si>
    <t>PRODUIT(B):</t>
  </si>
  <si>
    <t>Y Axis (2)</t>
  </si>
  <si>
    <t>INDICATORS(L):</t>
  </si>
  <si>
    <t>X Axis (1)</t>
  </si>
  <si>
    <t>Source: Copyright © 1958 - 2003 European Community, Eurostat. All Rights Reserved. Comext: k0000329.txt  Extracted: 19/03/2015</t>
  </si>
  <si>
    <t>Code Produit SH6</t>
  </si>
  <si>
    <t>Pays/Territoire</t>
  </si>
  <si>
    <t>Poids net (KG)</t>
  </si>
  <si>
    <t>Valeur (FCFA)</t>
  </si>
  <si>
    <t>Table generation of Extraction from Plan "k0000326,mtx"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</si>
</sst>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0" fontId="16" fillId="0" borderId="10" xfId="0" applyFon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81"/>
  <sheetViews>
    <sheetView tabSelected="1" workbookViewId="0"/>
  </sheetViews>
  <sheetFormatPr baseColWidth="10" defaultRowHeight="15" x14ac:dyDescent="0.25"/>
  <cols>
    <col min="2" max="2" width="96.140625" bestFit="1" customWidth="1"/>
  </cols>
  <sheetData>
    <row r="1" spans="1:4" x14ac:dyDescent="0.25">
      <c r="C1" t="s">
        <v>18</v>
      </c>
    </row>
    <row r="3" spans="1:4" x14ac:dyDescent="0.25">
      <c r="A3" t="s">
        <v>0</v>
      </c>
      <c r="B3" t="str">
        <f>T("19/03/2015")</f>
        <v>19/03/2015</v>
      </c>
    </row>
    <row r="4" spans="1:4" x14ac:dyDescent="0.25">
      <c r="A4" t="s">
        <v>1</v>
      </c>
      <c r="B4" t="str">
        <f>T("00")</f>
        <v>00</v>
      </c>
    </row>
    <row r="5" spans="1:4" x14ac:dyDescent="0.25">
      <c r="A5" t="s">
        <v>2</v>
      </c>
      <c r="B5" t="str">
        <f>T("2014")</f>
        <v>2014</v>
      </c>
    </row>
    <row r="6" spans="1:4" x14ac:dyDescent="0.25">
      <c r="A6" t="s">
        <v>3</v>
      </c>
      <c r="B6" t="str">
        <f>T("7Bureaux")</f>
        <v>7Bureaux</v>
      </c>
    </row>
    <row r="7" spans="1:4" x14ac:dyDescent="0.25">
      <c r="A7" t="s">
        <v>4</v>
      </c>
      <c r="B7" t="str">
        <f>T("Commerce Spécial")</f>
        <v>Commerce Spécial</v>
      </c>
    </row>
    <row r="8" spans="1:4" x14ac:dyDescent="0.25">
      <c r="A8" t="s">
        <v>5</v>
      </c>
      <c r="B8" t="str">
        <f>T("ET")</f>
        <v>ET</v>
      </c>
    </row>
    <row r="9" spans="1:4" x14ac:dyDescent="0.25">
      <c r="A9" t="s">
        <v>6</v>
      </c>
      <c r="B9" t="str">
        <f>T("ZZZ_Monde")</f>
        <v>ZZZ_Monde</v>
      </c>
    </row>
    <row r="10" spans="1:4" x14ac:dyDescent="0.25">
      <c r="A10" t="s">
        <v>7</v>
      </c>
      <c r="B10" t="s">
        <v>8</v>
      </c>
    </row>
    <row r="11" spans="1:4" x14ac:dyDescent="0.25">
      <c r="A11" t="s">
        <v>9</v>
      </c>
      <c r="B11" t="s">
        <v>10</v>
      </c>
    </row>
    <row r="12" spans="1:4" x14ac:dyDescent="0.25">
      <c r="A12" t="s">
        <v>11</v>
      </c>
      <c r="B12" t="s">
        <v>12</v>
      </c>
    </row>
    <row r="13" spans="1:4" ht="15.75" thickBot="1" x14ac:dyDescent="0.3"/>
    <row r="14" spans="1:4" s="1" customFormat="1" ht="16.5" thickTop="1" thickBot="1" x14ac:dyDescent="0.3">
      <c r="A14" s="2" t="s">
        <v>14</v>
      </c>
      <c r="B14" s="2" t="s">
        <v>15</v>
      </c>
      <c r="C14" s="2" t="s">
        <v>16</v>
      </c>
      <c r="D14" s="2" t="s">
        <v>17</v>
      </c>
    </row>
    <row r="15" spans="1:4" ht="15.75" thickTop="1" x14ac:dyDescent="0.25"/>
    <row r="16" spans="1:4" s="1" customFormat="1" x14ac:dyDescent="0.25">
      <c r="B16" s="1" t="str">
        <f>T("Emirats Arabes Unis")</f>
        <v>Emirats Arabes Unis</v>
      </c>
    </row>
    <row r="17" spans="1:4" x14ac:dyDescent="0.25">
      <c r="A17" t="str">
        <f>T("   240399")</f>
        <v xml:space="preserve">   240399</v>
      </c>
      <c r="B17" t="str">
        <f>T("   AUTRES")</f>
        <v xml:space="preserve">   AUTRES</v>
      </c>
      <c r="C17">
        <v>16125</v>
      </c>
      <c r="D17">
        <v>37466674</v>
      </c>
    </row>
    <row r="18" spans="1:4" x14ac:dyDescent="0.25">
      <c r="A18" t="str">
        <f>T("   271019")</f>
        <v xml:space="preserve">   271019</v>
      </c>
      <c r="B18" t="str">
        <f>T("   AUTRES")</f>
        <v xml:space="preserve">   AUTRES</v>
      </c>
      <c r="C18">
        <v>30000</v>
      </c>
      <c r="D18">
        <v>10244400</v>
      </c>
    </row>
    <row r="19" spans="1:4" x14ac:dyDescent="0.25">
      <c r="A19" t="str">
        <f>T("   620590")</f>
        <v xml:space="preserve">   620590</v>
      </c>
      <c r="B19" t="str">
        <f>T("   D'AUTRES MATIERES TEXTILES")</f>
        <v xml:space="preserve">   D'AUTRES MATIERES TEXTILES</v>
      </c>
      <c r="C19">
        <v>9880</v>
      </c>
      <c r="D19">
        <v>4920258</v>
      </c>
    </row>
    <row r="20" spans="1:4" x14ac:dyDescent="0.25">
      <c r="A20" t="str">
        <f>T("   630510")</f>
        <v xml:space="preserve">   630510</v>
      </c>
      <c r="B20" t="str">
        <f>T("   DE JUTE OU D'AUTRES FIBRES TEXTILES LIBERIENNES DU N° 53.03")</f>
        <v xml:space="preserve">   DE JUTE OU D'AUTRES FIBRES TEXTILES LIBERIENNES DU N° 53.03</v>
      </c>
      <c r="C20">
        <v>1287</v>
      </c>
      <c r="D20">
        <v>792328</v>
      </c>
    </row>
    <row r="21" spans="1:4" x14ac:dyDescent="0.25">
      <c r="A21" t="str">
        <f>T("   720429")</f>
        <v xml:space="preserve">   720429</v>
      </c>
      <c r="B21" t="str">
        <f>T("   AUTRES")</f>
        <v xml:space="preserve">   AUTRES</v>
      </c>
      <c r="C21">
        <v>225000</v>
      </c>
      <c r="D21">
        <v>11250000</v>
      </c>
    </row>
    <row r="22" spans="1:4" x14ac:dyDescent="0.25">
      <c r="A22" t="str">
        <f>T("   760200")</f>
        <v xml:space="preserve">   760200</v>
      </c>
      <c r="B22" t="str">
        <f>T("   DECHETS ET DEBRIS D'ALUMINIUM.")</f>
        <v xml:space="preserve">   DECHETS ET DEBRIS D'ALUMINIUM.</v>
      </c>
      <c r="C22">
        <v>50000</v>
      </c>
      <c r="D22">
        <v>2500000</v>
      </c>
    </row>
    <row r="23" spans="1:4" x14ac:dyDescent="0.25">
      <c r="A23" t="str">
        <f>T("   842121")</f>
        <v xml:space="preserve">   842121</v>
      </c>
      <c r="B23" t="str">
        <f>T("   POUR LA FILTRATION OU L'EPURATION DES EAUX")</f>
        <v xml:space="preserve">   POUR LA FILTRATION OU L'EPURATION DES EAUX</v>
      </c>
      <c r="C23">
        <v>8</v>
      </c>
      <c r="D23">
        <v>1493688</v>
      </c>
    </row>
    <row r="24" spans="1:4" x14ac:dyDescent="0.25">
      <c r="A24" t="str">
        <f>T("   843143")</f>
        <v xml:space="preserve">   843143</v>
      </c>
      <c r="B24" t="str">
        <f>T("   PARTIES DE MACHINES DE SONDAGE OU DE FORAGE DES N°S 8430.41 OU 8430.49")</f>
        <v xml:space="preserve">   PARTIES DE MACHINES DE SONDAGE OU DE FORAGE DES N°S 8430.41 OU 8430.49</v>
      </c>
      <c r="C24">
        <v>13834</v>
      </c>
      <c r="D24">
        <v>109039224</v>
      </c>
    </row>
    <row r="25" spans="1:4" x14ac:dyDescent="0.25">
      <c r="A25" t="str">
        <f>T("   847130")</f>
        <v xml:space="preserve">   847130</v>
      </c>
      <c r="B25" t="str">
        <f>T("   MACHINES AUTOMATIQUES DE TRAITEMENT DE L'INFORMATION PORTATIVES, D'UN POIDS N'EXCEDAN")</f>
        <v xml:space="preserve">   MACHINES AUTOMATIQUES DE TRAITEMENT DE L'INFORMATION PORTATIVES, D'UN POIDS N'EXCEDAN</v>
      </c>
      <c r="C25">
        <v>6</v>
      </c>
      <c r="D25">
        <v>497896</v>
      </c>
    </row>
    <row r="26" spans="1:4" x14ac:dyDescent="0.25">
      <c r="A26" t="str">
        <f>T("   850213")</f>
        <v xml:space="preserve">   850213</v>
      </c>
      <c r="B26" t="str">
        <f>T("   D'UNE PUISSANCE EXCEDANT 375 KVA")</f>
        <v xml:space="preserve">   D'UNE PUISSANCE EXCEDANT 375 KVA</v>
      </c>
      <c r="C26">
        <v>19600</v>
      </c>
      <c r="D26">
        <v>8364225</v>
      </c>
    </row>
    <row r="27" spans="1:4" x14ac:dyDescent="0.25">
      <c r="A27" t="str">
        <f>T("   850431")</f>
        <v xml:space="preserve">   850431</v>
      </c>
      <c r="B27" t="str">
        <f>T("   D'UNE PUISSANCE N'EXCEDANT PAS 1 KVA")</f>
        <v xml:space="preserve">   D'UNE PUISSANCE N'EXCEDANT PAS 1 KVA</v>
      </c>
      <c r="C27">
        <v>8886.2099999999991</v>
      </c>
      <c r="D27">
        <v>52140257</v>
      </c>
    </row>
    <row r="28" spans="1:4" x14ac:dyDescent="0.25">
      <c r="A28" t="str">
        <f>T("   870323")</f>
        <v xml:space="preserve">   870323</v>
      </c>
      <c r="B28" t="str">
        <f>T("   D’UNE CYLINDREE EXCEDANT 1.500 CM³ MAIS N’EXCEDANT PAS 3.000 CM³")</f>
        <v xml:space="preserve">   D’UNE CYLINDREE EXCEDANT 1.500 CM³ MAIS N’EXCEDANT PAS 3.000 CM³</v>
      </c>
      <c r="C28">
        <v>5000</v>
      </c>
      <c r="D28">
        <v>1000000</v>
      </c>
    </row>
    <row r="29" spans="1:4" x14ac:dyDescent="0.25">
      <c r="A29" t="str">
        <f>T("   871610")</f>
        <v xml:space="preserve">   871610</v>
      </c>
      <c r="B29" t="str">
        <f>T("   REMORQUES ET SEMIREMORQUES POUR L'HABITATION OU LE CAMPING, DU TYPE CARAVANE")</f>
        <v xml:space="preserve">   REMORQUES ET SEMIREMORQUES POUR L'HABITATION OU LE CAMPING, DU TYPE CARAVANE</v>
      </c>
      <c r="C29">
        <v>8500</v>
      </c>
      <c r="D29">
        <v>1000000</v>
      </c>
    </row>
    <row r="30" spans="1:4" x14ac:dyDescent="0.25">
      <c r="A30" t="str">
        <f>T("   902720")</f>
        <v xml:space="preserve">   902720</v>
      </c>
      <c r="B30" t="str">
        <f>T("   CHROMATOGRAPHES ET APPAREILS D'ELECTROPHORESE")</f>
        <v xml:space="preserve">   CHROMATOGRAPHES ET APPAREILS D'ELECTROPHORESE</v>
      </c>
      <c r="C30">
        <v>102</v>
      </c>
      <c r="D30">
        <v>26886384</v>
      </c>
    </row>
    <row r="31" spans="1:4" s="1" customFormat="1" x14ac:dyDescent="0.25">
      <c r="A31" s="1" t="str">
        <f>T("   ZZ_Total_Produit_SH6")</f>
        <v xml:space="preserve">   ZZ_Total_Produit_SH6</v>
      </c>
      <c r="B31" s="1" t="str">
        <f>T("   ZZ_Total_Produit_SH6")</f>
        <v xml:space="preserve">   ZZ_Total_Produit_SH6</v>
      </c>
      <c r="C31" s="1">
        <v>388228.21</v>
      </c>
      <c r="D31" s="1">
        <v>267595334</v>
      </c>
    </row>
    <row r="32" spans="1:4" s="1" customFormat="1" x14ac:dyDescent="0.25">
      <c r="B32" s="1" t="str">
        <f>T("Autriche")</f>
        <v>Autriche</v>
      </c>
    </row>
    <row r="33" spans="1:4" x14ac:dyDescent="0.25">
      <c r="A33" t="str">
        <f>T("   820559")</f>
        <v xml:space="preserve">   820559</v>
      </c>
      <c r="B33" t="str">
        <f>T("   AUTRES")</f>
        <v xml:space="preserve">   AUTRES</v>
      </c>
      <c r="C33">
        <v>520</v>
      </c>
      <c r="D33">
        <v>499390</v>
      </c>
    </row>
    <row r="34" spans="1:4" s="1" customFormat="1" x14ac:dyDescent="0.25">
      <c r="A34" s="1" t="str">
        <f>T("   ZZ_Total_Produit_SH6")</f>
        <v xml:space="preserve">   ZZ_Total_Produit_SH6</v>
      </c>
      <c r="B34" s="1" t="str">
        <f>T("   ZZ_Total_Produit_SH6")</f>
        <v xml:space="preserve">   ZZ_Total_Produit_SH6</v>
      </c>
      <c r="C34" s="1">
        <v>520</v>
      </c>
      <c r="D34" s="1">
        <v>499390</v>
      </c>
    </row>
    <row r="35" spans="1:4" s="1" customFormat="1" x14ac:dyDescent="0.25">
      <c r="B35" s="1" t="str">
        <f>T("Australie")</f>
        <v>Australie</v>
      </c>
    </row>
    <row r="36" spans="1:4" x14ac:dyDescent="0.25">
      <c r="A36" t="str">
        <f>T("   330790")</f>
        <v xml:space="preserve">   330790</v>
      </c>
      <c r="B36" t="str">
        <f>T("   AUTRES")</f>
        <v xml:space="preserve">   AUTRES</v>
      </c>
      <c r="C36">
        <v>838</v>
      </c>
      <c r="D36">
        <v>2647313</v>
      </c>
    </row>
    <row r="37" spans="1:4" s="1" customFormat="1" x14ac:dyDescent="0.25">
      <c r="A37" s="1" t="str">
        <f>T("   ZZ_Total_Produit_SH6")</f>
        <v xml:space="preserve">   ZZ_Total_Produit_SH6</v>
      </c>
      <c r="B37" s="1" t="str">
        <f>T("   ZZ_Total_Produit_SH6")</f>
        <v xml:space="preserve">   ZZ_Total_Produit_SH6</v>
      </c>
      <c r="C37" s="1">
        <v>838</v>
      </c>
      <c r="D37" s="1">
        <v>2647313</v>
      </c>
    </row>
    <row r="38" spans="1:4" s="1" customFormat="1" x14ac:dyDescent="0.25">
      <c r="B38" s="1" t="str">
        <f>T("Bosnie Herzégovine")</f>
        <v>Bosnie Herzégovine</v>
      </c>
    </row>
    <row r="39" spans="1:4" x14ac:dyDescent="0.25">
      <c r="A39" t="str">
        <f>T("   620590")</f>
        <v xml:space="preserve">   620590</v>
      </c>
      <c r="B39" t="str">
        <f>T("   D'AUTRES MATIERES TEXTILES")</f>
        <v xml:space="preserve">   D'AUTRES MATIERES TEXTILES</v>
      </c>
      <c r="C39">
        <v>1100</v>
      </c>
      <c r="D39">
        <v>900000</v>
      </c>
    </row>
    <row r="40" spans="1:4" x14ac:dyDescent="0.25">
      <c r="A40" t="str">
        <f>T("   732394")</f>
        <v xml:space="preserve">   732394</v>
      </c>
      <c r="B40" t="str">
        <f>T("   EN FER OU EN ACIER, EMAILLES")</f>
        <v xml:space="preserve">   EN FER OU EN ACIER, EMAILLES</v>
      </c>
      <c r="C40">
        <v>400</v>
      </c>
      <c r="D40">
        <v>300000</v>
      </c>
    </row>
    <row r="41" spans="1:4" x14ac:dyDescent="0.25">
      <c r="A41" t="str">
        <f>T("   851220")</f>
        <v xml:space="preserve">   851220</v>
      </c>
      <c r="B41" t="str">
        <f>T("   AUTRES APPAREILS D'ECLAIRAGE OU DE SIGNALISATION VISUELLE")</f>
        <v xml:space="preserve">   AUTRES APPAREILS D'ECLAIRAGE OU DE SIGNALISATION VISUELLE</v>
      </c>
      <c r="C41">
        <v>17</v>
      </c>
      <c r="D41">
        <v>2140181</v>
      </c>
    </row>
    <row r="42" spans="1:4" x14ac:dyDescent="0.25">
      <c r="A42" t="str">
        <f>T("   940350")</f>
        <v xml:space="preserve">   940350</v>
      </c>
      <c r="B42" t="str">
        <f>T("   MEUBLES EN BOIS DES TYPES UTILISES DANS LES CHAMBRES A COUCHER")</f>
        <v xml:space="preserve">   MEUBLES EN BOIS DES TYPES UTILISES DANS LES CHAMBRES A COUCHER</v>
      </c>
      <c r="C42">
        <v>2500</v>
      </c>
      <c r="D42">
        <v>1800000</v>
      </c>
    </row>
    <row r="43" spans="1:4" s="1" customFormat="1" x14ac:dyDescent="0.25">
      <c r="A43" s="1" t="str">
        <f>T("   ZZ_Total_Produit_SH6")</f>
        <v xml:space="preserve">   ZZ_Total_Produit_SH6</v>
      </c>
      <c r="B43" s="1" t="str">
        <f>T("   ZZ_Total_Produit_SH6")</f>
        <v xml:space="preserve">   ZZ_Total_Produit_SH6</v>
      </c>
      <c r="C43" s="1">
        <v>4017</v>
      </c>
      <c r="D43" s="1">
        <v>5140181</v>
      </c>
    </row>
    <row r="44" spans="1:4" s="1" customFormat="1" x14ac:dyDescent="0.25">
      <c r="B44" s="1" t="str">
        <f>T("Bangladesh")</f>
        <v>Bangladesh</v>
      </c>
    </row>
    <row r="45" spans="1:4" x14ac:dyDescent="0.25">
      <c r="A45" t="str">
        <f>T("   410510")</f>
        <v xml:space="preserve">   410510</v>
      </c>
      <c r="B45" t="str">
        <f>T("   A L'ETAT HUMIDE (Y COMPRIS WETBLUE)")</f>
        <v xml:space="preserve">   A L'ETAT HUMIDE (Y COMPRIS WETBLUE)</v>
      </c>
      <c r="C45">
        <v>105269</v>
      </c>
      <c r="D45">
        <v>40327900</v>
      </c>
    </row>
    <row r="46" spans="1:4" x14ac:dyDescent="0.25">
      <c r="A46" t="str">
        <f>T("   440729")</f>
        <v xml:space="preserve">   440729</v>
      </c>
      <c r="B46" t="str">
        <f>T("   AUTRES")</f>
        <v xml:space="preserve">   AUTRES</v>
      </c>
      <c r="C46">
        <v>5000</v>
      </c>
      <c r="D46">
        <v>871150</v>
      </c>
    </row>
    <row r="47" spans="1:4" x14ac:dyDescent="0.25">
      <c r="A47" t="str">
        <f>T("   520100")</f>
        <v xml:space="preserve">   520100</v>
      </c>
      <c r="B47" t="str">
        <f>T("   COTON, NON CARDE NI PEIGNE.")</f>
        <v xml:space="preserve">   COTON, NON CARDE NI PEIGNE.</v>
      </c>
      <c r="C47">
        <v>20060307</v>
      </c>
      <c r="D47">
        <v>18437863982</v>
      </c>
    </row>
    <row r="48" spans="1:4" s="1" customFormat="1" x14ac:dyDescent="0.25">
      <c r="A48" s="1" t="str">
        <f>T("   ZZ_Total_Produit_SH6")</f>
        <v xml:space="preserve">   ZZ_Total_Produit_SH6</v>
      </c>
      <c r="B48" s="1" t="str">
        <f>T("   ZZ_Total_Produit_SH6")</f>
        <v xml:space="preserve">   ZZ_Total_Produit_SH6</v>
      </c>
      <c r="C48" s="1">
        <v>20170576</v>
      </c>
      <c r="D48" s="1">
        <v>18479063032</v>
      </c>
    </row>
    <row r="49" spans="1:4" s="1" customFormat="1" x14ac:dyDescent="0.25">
      <c r="B49" s="1" t="str">
        <f>T("Belgique")</f>
        <v>Belgique</v>
      </c>
    </row>
    <row r="50" spans="1:4" x14ac:dyDescent="0.25">
      <c r="A50" t="str">
        <f>T("   040510")</f>
        <v xml:space="preserve">   040510</v>
      </c>
      <c r="B50" t="str">
        <f>T("   BEURRE")</f>
        <v xml:space="preserve">   BEURRE</v>
      </c>
      <c r="C50">
        <v>179988</v>
      </c>
      <c r="D50">
        <v>122116044</v>
      </c>
    </row>
    <row r="51" spans="1:4" x14ac:dyDescent="0.25">
      <c r="A51" t="str">
        <f>T("   060390")</f>
        <v xml:space="preserve">   060390</v>
      </c>
      <c r="B51" t="str">
        <f>T("   AUTRES")</f>
        <v xml:space="preserve">   AUTRES</v>
      </c>
      <c r="C51">
        <v>1600</v>
      </c>
      <c r="D51">
        <v>787152</v>
      </c>
    </row>
    <row r="52" spans="1:4" x14ac:dyDescent="0.25">
      <c r="A52" t="str">
        <f>T("   080430")</f>
        <v xml:space="preserve">   080430</v>
      </c>
      <c r="B52" t="str">
        <f>T("   ANANAS")</f>
        <v xml:space="preserve">   ANANAS</v>
      </c>
      <c r="C52">
        <v>178453</v>
      </c>
      <c r="D52">
        <v>18449700</v>
      </c>
    </row>
    <row r="53" spans="1:4" x14ac:dyDescent="0.25">
      <c r="A53" t="str">
        <f>T("   100630")</f>
        <v xml:space="preserve">   100630</v>
      </c>
      <c r="B53" t="str">
        <f>T("   RIZ SEMIBLANCHI OU BLANCHI, MEME POLI OU GLACE")</f>
        <v xml:space="preserve">   RIZ SEMIBLANCHI OU BLANCHI, MEME POLI OU GLACE</v>
      </c>
      <c r="C53">
        <v>12000</v>
      </c>
      <c r="D53">
        <v>6848222</v>
      </c>
    </row>
    <row r="54" spans="1:4" x14ac:dyDescent="0.25">
      <c r="A54" t="str">
        <f>T("   180500")</f>
        <v xml:space="preserve">   180500</v>
      </c>
      <c r="B54" t="str">
        <f>T("   POUDRE DE CACAO, SANS ADDITION DE SUCRE OU D'AUTRES EDULCORANTS.")</f>
        <v xml:space="preserve">   POUDRE DE CACAO, SANS ADDITION DE SUCRE OU D'AUTRES EDULCORANTS.</v>
      </c>
      <c r="C54">
        <v>512</v>
      </c>
      <c r="D54">
        <v>65200</v>
      </c>
    </row>
    <row r="55" spans="1:4" x14ac:dyDescent="0.25">
      <c r="A55" t="str">
        <f>T("   300210")</f>
        <v xml:space="preserve">   300210</v>
      </c>
      <c r="B55" t="str">
        <f>T("   ANTISERUMS, AUTRES FRACTIONS DU SANG ET PRODUITS IMMUNOLOGIQUES, MEME MODIFIES OU OBT")</f>
        <v xml:space="preserve">   ANTISERUMS, AUTRES FRACTIONS DU SANG ET PRODUITS IMMUNOLOGIQUES, MEME MODIFIES OU OBT</v>
      </c>
      <c r="C55">
        <v>14</v>
      </c>
      <c r="D55">
        <v>3280</v>
      </c>
    </row>
    <row r="56" spans="1:4" x14ac:dyDescent="0.25">
      <c r="A56" t="str">
        <f>T("   392330")</f>
        <v xml:space="preserve">   392330</v>
      </c>
      <c r="B56" t="str">
        <f>T("   BONBONNES, BOUTEILLES, FLACONS ET ARTICLES SIMILAIRES")</f>
        <v xml:space="preserve">   BONBONNES, BOUTEILLES, FLACONS ET ARTICLES SIMILAIRES</v>
      </c>
      <c r="C56">
        <v>80</v>
      </c>
      <c r="D56">
        <v>40000</v>
      </c>
    </row>
    <row r="57" spans="1:4" x14ac:dyDescent="0.25">
      <c r="A57" t="str">
        <f>T("   481920")</f>
        <v xml:space="preserve">   481920</v>
      </c>
      <c r="B57" t="str">
        <f>T("   BOITES ET CARTONNAGES, PLIANTS, EN PAPIER OU CARTON NON ONDULE")</f>
        <v xml:space="preserve">   BOITES ET CARTONNAGES, PLIANTS, EN PAPIER OU CARTON NON ONDULE</v>
      </c>
      <c r="C57">
        <v>3212</v>
      </c>
      <c r="D57">
        <v>3082500</v>
      </c>
    </row>
    <row r="58" spans="1:4" x14ac:dyDescent="0.25">
      <c r="A58" t="str">
        <f>T("   490199")</f>
        <v xml:space="preserve">   490199</v>
      </c>
      <c r="B58" t="str">
        <f>T("   AUTRES")</f>
        <v xml:space="preserve">   AUTRES</v>
      </c>
      <c r="C58">
        <v>2000</v>
      </c>
      <c r="D58">
        <v>2500000</v>
      </c>
    </row>
    <row r="59" spans="1:4" x14ac:dyDescent="0.25">
      <c r="A59" t="str">
        <f>T("   520100")</f>
        <v xml:space="preserve">   520100</v>
      </c>
      <c r="B59" t="str">
        <f>T("   COTON, NON CARDE NI PEIGNE.")</f>
        <v xml:space="preserve">   COTON, NON CARDE NI PEIGNE.</v>
      </c>
      <c r="C59">
        <v>1260204</v>
      </c>
      <c r="D59">
        <v>704512658</v>
      </c>
    </row>
    <row r="60" spans="1:4" x14ac:dyDescent="0.25">
      <c r="A60" t="str">
        <f>T("   520299")</f>
        <v xml:space="preserve">   520299</v>
      </c>
      <c r="B60" t="str">
        <f>T("   AUTRES")</f>
        <v xml:space="preserve">   AUTRES</v>
      </c>
      <c r="C60">
        <v>75000</v>
      </c>
      <c r="D60">
        <v>1250000</v>
      </c>
    </row>
    <row r="61" spans="1:4" x14ac:dyDescent="0.25">
      <c r="A61" t="str">
        <f>T("   610339")</f>
        <v xml:space="preserve">   610339</v>
      </c>
      <c r="B61" t="str">
        <f>T("   D'AUTRES MATIERES TEXTILES")</f>
        <v xml:space="preserve">   D'AUTRES MATIERES TEXTILES</v>
      </c>
      <c r="C61">
        <v>5830</v>
      </c>
      <c r="D61">
        <v>9000000</v>
      </c>
    </row>
    <row r="62" spans="1:4" x14ac:dyDescent="0.25">
      <c r="A62" t="str">
        <f>T("   620590")</f>
        <v xml:space="preserve">   620590</v>
      </c>
      <c r="B62" t="str">
        <f>T("   D'AUTRES MATIERES TEXTILES")</f>
        <v xml:space="preserve">   D'AUTRES MATIERES TEXTILES</v>
      </c>
      <c r="C62">
        <v>2950</v>
      </c>
      <c r="D62">
        <v>3050000</v>
      </c>
    </row>
    <row r="63" spans="1:4" x14ac:dyDescent="0.25">
      <c r="A63" t="str">
        <f>T("   720429")</f>
        <v xml:space="preserve">   720429</v>
      </c>
      <c r="B63" t="str">
        <f>T("   AUTRES")</f>
        <v xml:space="preserve">   AUTRES</v>
      </c>
      <c r="C63">
        <v>2016</v>
      </c>
      <c r="D63">
        <v>500000</v>
      </c>
    </row>
    <row r="64" spans="1:4" x14ac:dyDescent="0.25">
      <c r="A64" t="str">
        <f>T("   731010")</f>
        <v xml:space="preserve">   731010</v>
      </c>
      <c r="B64" t="str">
        <f>T("   D'UNE CONTENANCE DE 50 L OU PLUS")</f>
        <v xml:space="preserve">   D'UNE CONTENANCE DE 50 L OU PLUS</v>
      </c>
      <c r="C64">
        <v>4600</v>
      </c>
      <c r="D64">
        <v>11535974</v>
      </c>
    </row>
    <row r="65" spans="1:4" x14ac:dyDescent="0.25">
      <c r="A65" t="str">
        <f>T("   732394")</f>
        <v xml:space="preserve">   732394</v>
      </c>
      <c r="B65" t="str">
        <f>T("   EN FER OU EN ACIER, EMAILLES")</f>
        <v xml:space="preserve">   EN FER OU EN ACIER, EMAILLES</v>
      </c>
      <c r="C65">
        <v>1450</v>
      </c>
      <c r="D65">
        <v>1500000</v>
      </c>
    </row>
    <row r="66" spans="1:4" x14ac:dyDescent="0.25">
      <c r="A66" t="str">
        <f>T("   732399")</f>
        <v xml:space="preserve">   732399</v>
      </c>
      <c r="B66" t="str">
        <f>T("   AUTRES")</f>
        <v xml:space="preserve">   AUTRES</v>
      </c>
      <c r="C66">
        <v>1500</v>
      </c>
      <c r="D66">
        <v>3100000</v>
      </c>
    </row>
    <row r="67" spans="1:4" x14ac:dyDescent="0.25">
      <c r="A67" t="str">
        <f>T("   842839")</f>
        <v xml:space="preserve">   842839</v>
      </c>
      <c r="B67" t="str">
        <f>T("   AUTRES")</f>
        <v xml:space="preserve">   AUTRES</v>
      </c>
      <c r="C67">
        <v>28000</v>
      </c>
      <c r="D67">
        <v>129014212</v>
      </c>
    </row>
    <row r="68" spans="1:4" x14ac:dyDescent="0.25">
      <c r="A68" t="str">
        <f>T("   843139")</f>
        <v xml:space="preserve">   843139</v>
      </c>
      <c r="B68" t="str">
        <f>T("   AUTRES")</f>
        <v xml:space="preserve">   AUTRES</v>
      </c>
      <c r="C68">
        <v>66</v>
      </c>
      <c r="D68">
        <v>2146478</v>
      </c>
    </row>
    <row r="69" spans="1:4" x14ac:dyDescent="0.25">
      <c r="A69" t="str">
        <f>T("   843141")</f>
        <v xml:space="preserve">   843141</v>
      </c>
      <c r="B69" t="str">
        <f>T("   GODETS, BENNES, BENNESPRENEUSES, PELLES, GRAPPINS ET PINCES")</f>
        <v xml:space="preserve">   GODETS, BENNES, BENNESPRENEUSES, PELLES, GRAPPINS ET PINCES</v>
      </c>
      <c r="C69">
        <v>6460</v>
      </c>
      <c r="D69">
        <v>14167096</v>
      </c>
    </row>
    <row r="70" spans="1:4" x14ac:dyDescent="0.25">
      <c r="A70" t="str">
        <f>T("   843149")</f>
        <v xml:space="preserve">   843149</v>
      </c>
      <c r="B70" t="str">
        <f>T("   AUTRES")</f>
        <v xml:space="preserve">   AUTRES</v>
      </c>
      <c r="C70">
        <v>38454</v>
      </c>
      <c r="D70">
        <v>161704576</v>
      </c>
    </row>
    <row r="71" spans="1:4" x14ac:dyDescent="0.25">
      <c r="A71" t="str">
        <f>T("   847330")</f>
        <v xml:space="preserve">   847330</v>
      </c>
      <c r="B71" t="str">
        <f>T("   PARTIES ET ACCESSOIRES DES MACHINES DU N° 84.71")</f>
        <v xml:space="preserve">   PARTIES ET ACCESSOIRES DES MACHINES DU N° 84.71</v>
      </c>
      <c r="C71">
        <v>7940</v>
      </c>
      <c r="D71">
        <v>3608760</v>
      </c>
    </row>
    <row r="72" spans="1:4" x14ac:dyDescent="0.25">
      <c r="A72" t="str">
        <f>T("   847431")</f>
        <v xml:space="preserve">   847431</v>
      </c>
      <c r="B72" t="str">
        <f>T("   BETONNIERES ET APPAREILS A GACHER LE CIMENT")</f>
        <v xml:space="preserve">   BETONNIERES ET APPAREILS A GACHER LE CIMENT</v>
      </c>
      <c r="C72">
        <v>39900</v>
      </c>
      <c r="D72">
        <v>179651700</v>
      </c>
    </row>
    <row r="73" spans="1:4" x14ac:dyDescent="0.25">
      <c r="A73" t="str">
        <f>T("   847490")</f>
        <v xml:space="preserve">   847490</v>
      </c>
      <c r="B73" t="str">
        <f>T("   PARTIES")</f>
        <v xml:space="preserve">   PARTIES</v>
      </c>
      <c r="C73">
        <v>8400</v>
      </c>
      <c r="D73">
        <v>26960508</v>
      </c>
    </row>
    <row r="74" spans="1:4" x14ac:dyDescent="0.25">
      <c r="A74" t="str">
        <f>T("   848190")</f>
        <v xml:space="preserve">   848190</v>
      </c>
      <c r="B74" t="str">
        <f>T("   PARTIES")</f>
        <v xml:space="preserve">   PARTIES</v>
      </c>
      <c r="C74">
        <v>25</v>
      </c>
      <c r="D74">
        <v>390480</v>
      </c>
    </row>
    <row r="75" spans="1:4" x14ac:dyDescent="0.25">
      <c r="A75" t="str">
        <f>T("   854420")</f>
        <v xml:space="preserve">   854420</v>
      </c>
      <c r="B75" t="str">
        <f>T("   Cables coaxiaux et autres conducteurs electriques coaxiaux")</f>
        <v xml:space="preserve">   Cables coaxiaux et autres conducteurs electriques coaxiaux</v>
      </c>
      <c r="C75">
        <v>27000</v>
      </c>
      <c r="D75">
        <v>62316200</v>
      </c>
    </row>
    <row r="76" spans="1:4" x14ac:dyDescent="0.25">
      <c r="A76" t="str">
        <f>T("   870322")</f>
        <v xml:space="preserve">   870322</v>
      </c>
      <c r="B76" t="str">
        <f>T("   D’UNE CYLINDREE EXCEDANT 1.000 CM³ MAIS N’EXCEDANT PAS 1.500 CM³")</f>
        <v xml:space="preserve">   D’UNE CYLINDREE EXCEDANT 1.000 CM³ MAIS N’EXCEDANT PAS 1.500 CM³</v>
      </c>
      <c r="C76">
        <v>1400</v>
      </c>
      <c r="D76">
        <v>32502670</v>
      </c>
    </row>
    <row r="77" spans="1:4" x14ac:dyDescent="0.25">
      <c r="A77" t="str">
        <f>T("   870323")</f>
        <v xml:space="preserve">   870323</v>
      </c>
      <c r="B77" t="str">
        <f>T("   D’UNE CYLINDREE EXCEDANT 1.500 CM³ MAIS N’EXCEDANT PAS 3.000 CM³")</f>
        <v xml:space="preserve">   D’UNE CYLINDREE EXCEDANT 1.500 CM³ MAIS N’EXCEDANT PAS 3.000 CM³</v>
      </c>
      <c r="C77">
        <v>1975</v>
      </c>
      <c r="D77">
        <v>18396174</v>
      </c>
    </row>
    <row r="78" spans="1:4" x14ac:dyDescent="0.25">
      <c r="A78" t="str">
        <f>T("   870324")</f>
        <v xml:space="preserve">   870324</v>
      </c>
      <c r="B78" t="str">
        <f>T("   D’UNE CYLINDREE EXCEDANT 3.000 CM³")</f>
        <v xml:space="preserve">   D’UNE CYLINDREE EXCEDANT 3.000 CM³</v>
      </c>
      <c r="C78">
        <v>3170</v>
      </c>
      <c r="D78">
        <v>178198094</v>
      </c>
    </row>
    <row r="79" spans="1:4" x14ac:dyDescent="0.25">
      <c r="A79" t="str">
        <f>T("   871120")</f>
        <v xml:space="preserve">   871120</v>
      </c>
      <c r="B79" t="str">
        <f>T("   A MOTEUR A PISTON ALTERNATIF, D'UNE CYLINDREE EXCEDANT 50 CM³ MAIS N'EXCEDANT PAS 250")</f>
        <v xml:space="preserve">   A MOTEUR A PISTON ALTERNATIF, D'UNE CYLINDREE EXCEDANT 50 CM³ MAIS N'EXCEDANT PAS 250</v>
      </c>
      <c r="C79">
        <v>160</v>
      </c>
      <c r="D79">
        <v>190000</v>
      </c>
    </row>
    <row r="80" spans="1:4" x14ac:dyDescent="0.25">
      <c r="A80" t="str">
        <f>T("   871190")</f>
        <v xml:space="preserve">   871190</v>
      </c>
      <c r="B80" t="str">
        <f>T("   AUTRES")</f>
        <v xml:space="preserve">   AUTRES</v>
      </c>
      <c r="C80">
        <v>120</v>
      </c>
      <c r="D80">
        <v>200000</v>
      </c>
    </row>
    <row r="81" spans="1:4" x14ac:dyDescent="0.25">
      <c r="A81" t="str">
        <f>T("   880220")</f>
        <v xml:space="preserve">   880220</v>
      </c>
      <c r="B81" t="str">
        <f>T("   AVIONS ET AUTRES VEHICULES AERIENS, D'UN POIDS A VIDE N'EXCEDANT PAS 2.000 KG")</f>
        <v xml:space="preserve">   AVIONS ET AUTRES VEHICULES AERIENS, D'UN POIDS A VIDE N'EXCEDANT PAS 2.000 KG</v>
      </c>
      <c r="C81">
        <v>350</v>
      </c>
      <c r="D81">
        <v>983940</v>
      </c>
    </row>
    <row r="82" spans="1:4" x14ac:dyDescent="0.25">
      <c r="A82" t="str">
        <f>T("   900719")</f>
        <v xml:space="preserve">   900719</v>
      </c>
      <c r="B82" t="str">
        <f>T("   AUTRES CAMERAS MEME AVEC PRISE ET REPRODUCTION DU SON")</f>
        <v xml:space="preserve">   AUTRES CAMERAS MEME AVEC PRISE ET REPRODUCTION DU SON</v>
      </c>
      <c r="C82">
        <v>16</v>
      </c>
      <c r="D82">
        <v>918344</v>
      </c>
    </row>
    <row r="83" spans="1:4" x14ac:dyDescent="0.25">
      <c r="A83" t="str">
        <f>T("   901590")</f>
        <v xml:space="preserve">   901590</v>
      </c>
      <c r="B83" t="str">
        <f>T("   PARTIES ET ACCESSOIRES")</f>
        <v xml:space="preserve">   PARTIES ET ACCESSOIRES</v>
      </c>
      <c r="C83">
        <v>654</v>
      </c>
      <c r="D83">
        <v>9665682</v>
      </c>
    </row>
    <row r="84" spans="1:4" x14ac:dyDescent="0.25">
      <c r="A84" t="str">
        <f>T("   940350")</f>
        <v xml:space="preserve">   940350</v>
      </c>
      <c r="B84" t="str">
        <f>T("   MEUBLES EN BOIS DES TYPES UTILISES DANS LES CHAMBRES A COUCHER")</f>
        <v xml:space="preserve">   MEUBLES EN BOIS DES TYPES UTILISES DANS LES CHAMBRES A COUCHER</v>
      </c>
      <c r="C84">
        <v>9100</v>
      </c>
      <c r="D84">
        <v>8250000</v>
      </c>
    </row>
    <row r="85" spans="1:4" x14ac:dyDescent="0.25">
      <c r="A85" t="str">
        <f>T("   940360")</f>
        <v xml:space="preserve">   940360</v>
      </c>
      <c r="B85" t="str">
        <f>T("   Autres meubles en bois")</f>
        <v xml:space="preserve">   Autres meubles en bois</v>
      </c>
      <c r="C85">
        <v>1826</v>
      </c>
      <c r="D85">
        <v>3020000</v>
      </c>
    </row>
    <row r="86" spans="1:4" x14ac:dyDescent="0.25">
      <c r="A86" t="str">
        <f>T("   970300")</f>
        <v xml:space="preserve">   970300</v>
      </c>
      <c r="B86" t="str">
        <f>T("   PRODUCTIONS ORIGINALES DE L'ART STATUAIRE OU DE LA SCULPTURE, EN TOUTES MATIERES.")</f>
        <v xml:space="preserve">   PRODUCTIONS ORIGINALES DE L'ART STATUAIRE OU DE LA SCULPTURE, EN TOUTES MATIERES.</v>
      </c>
      <c r="C86">
        <v>170</v>
      </c>
      <c r="D86">
        <v>400000</v>
      </c>
    </row>
    <row r="87" spans="1:4" s="1" customFormat="1" x14ac:dyDescent="0.25">
      <c r="A87" s="1" t="str">
        <f>T("   ZZ_Total_Produit_SH6")</f>
        <v xml:space="preserve">   ZZ_Total_Produit_SH6</v>
      </c>
      <c r="B87" s="1" t="str">
        <f>T("   ZZ_Total_Produit_SH6")</f>
        <v xml:space="preserve">   ZZ_Total_Produit_SH6</v>
      </c>
      <c r="C87" s="1">
        <v>1906595</v>
      </c>
      <c r="D87" s="1">
        <v>1721025644</v>
      </c>
    </row>
    <row r="88" spans="1:4" s="1" customFormat="1" x14ac:dyDescent="0.25">
      <c r="B88" s="1" t="str">
        <f>T("Burkina Faso")</f>
        <v>Burkina Faso</v>
      </c>
    </row>
    <row r="89" spans="1:4" x14ac:dyDescent="0.25">
      <c r="A89" t="str">
        <f>T("   100110")</f>
        <v xml:space="preserve">   100110</v>
      </c>
      <c r="B89" t="str">
        <f>T("   Froment (ble) dur")</f>
        <v xml:space="preserve">   Froment (ble) dur</v>
      </c>
      <c r="C89">
        <v>600000</v>
      </c>
      <c r="D89">
        <v>139839798</v>
      </c>
    </row>
    <row r="90" spans="1:4" x14ac:dyDescent="0.25">
      <c r="A90" t="str">
        <f>T("   110100")</f>
        <v xml:space="preserve">   110100</v>
      </c>
      <c r="B90" t="str">
        <f>T("   FARINES DE FROMENT (BLE) OU DE METEIL.")</f>
        <v xml:space="preserve">   FARINES DE FROMENT (BLE) OU DE METEIL.</v>
      </c>
      <c r="C90">
        <v>600000</v>
      </c>
      <c r="D90">
        <v>139839798</v>
      </c>
    </row>
    <row r="91" spans="1:4" x14ac:dyDescent="0.25">
      <c r="A91" t="str">
        <f>T("   200941")</f>
        <v xml:space="preserve">   200941</v>
      </c>
      <c r="B91" t="str">
        <f>T("   D’UNE VALEUR BRIX N’EXCEDANT PAS 20")</f>
        <v xml:space="preserve">   D’UNE VALEUR BRIX N’EXCEDANT PAS 20</v>
      </c>
      <c r="C91">
        <v>212480</v>
      </c>
      <c r="D91">
        <v>44356500</v>
      </c>
    </row>
    <row r="92" spans="1:4" x14ac:dyDescent="0.25">
      <c r="A92" t="str">
        <f>T("   200949")</f>
        <v xml:space="preserve">   200949</v>
      </c>
      <c r="B92" t="str">
        <f>T("   AUTRES")</f>
        <v xml:space="preserve">   AUTRES</v>
      </c>
      <c r="C92">
        <v>293400</v>
      </c>
      <c r="D92">
        <v>44010000</v>
      </c>
    </row>
    <row r="93" spans="1:4" x14ac:dyDescent="0.25">
      <c r="A93" t="str">
        <f>T("   220110")</f>
        <v xml:space="preserve">   220110</v>
      </c>
      <c r="B93" t="str">
        <f>T("   EAUX MINERALES ET EAUX GAZEIFIEES")</f>
        <v xml:space="preserve">   EAUX MINERALES ET EAUX GAZEIFIEES</v>
      </c>
      <c r="C93">
        <v>46665</v>
      </c>
      <c r="D93">
        <v>5483268</v>
      </c>
    </row>
    <row r="94" spans="1:4" x14ac:dyDescent="0.25">
      <c r="A94" t="str">
        <f>T("   220210")</f>
        <v xml:space="preserve">   220210</v>
      </c>
      <c r="B94" t="str">
        <f>T("   EAUX, Y COMPRIS LES EAUX MINERALES ET LES EAUX GAZEIFIEES, ADDITIONNEES DE SUCRE OU D")</f>
        <v xml:space="preserve">   EAUX, Y COMPRIS LES EAUX MINERALES ET LES EAUX GAZEIFIEES, ADDITIONNEES DE SUCRE OU D</v>
      </c>
      <c r="C94">
        <v>3190</v>
      </c>
      <c r="D94">
        <v>1142626</v>
      </c>
    </row>
    <row r="95" spans="1:4" x14ac:dyDescent="0.25">
      <c r="A95" t="str">
        <f>T("   220290")</f>
        <v xml:space="preserve">   220290</v>
      </c>
      <c r="B95" t="str">
        <f>T("   AUTRES")</f>
        <v xml:space="preserve">   AUTRES</v>
      </c>
      <c r="C95">
        <v>700.14</v>
      </c>
      <c r="D95">
        <v>27135864</v>
      </c>
    </row>
    <row r="96" spans="1:4" x14ac:dyDescent="0.25">
      <c r="A96" t="str">
        <f>T("   220710")</f>
        <v xml:space="preserve">   220710</v>
      </c>
      <c r="B96" t="str">
        <f>T("   ALCOOL ETHYLIQUE NON DENATURE D'UN TITRE ALCOOMETRIQUE +VOLUMIQUE DE 80 % VOL OU PLUS")</f>
        <v xml:space="preserve">   ALCOOL ETHYLIQUE NON DENATURE D'UN TITRE ALCOOMETRIQUE +VOLUMIQUE DE 80 % VOL OU PLUS</v>
      </c>
      <c r="C96">
        <v>20625</v>
      </c>
      <c r="D96">
        <v>15000000</v>
      </c>
    </row>
    <row r="97" spans="1:4" x14ac:dyDescent="0.25">
      <c r="A97" t="str">
        <f>T("   250590")</f>
        <v xml:space="preserve">   250590</v>
      </c>
      <c r="B97" t="str">
        <f>T("   AUTRES SABLES")</f>
        <v xml:space="preserve">   AUTRES SABLES</v>
      </c>
      <c r="C97">
        <v>239</v>
      </c>
      <c r="D97">
        <v>246000</v>
      </c>
    </row>
    <row r="98" spans="1:4" x14ac:dyDescent="0.25">
      <c r="A98" t="str">
        <f>T("   271500")</f>
        <v xml:space="preserve">   271500</v>
      </c>
      <c r="B98" t="str">
        <f>T("   MELANGES BITUMINEUX A BASE D'ASPHALTE OU DE BITUME NATURELS, DE BITUME DE PETROLE, DE G")</f>
        <v xml:space="preserve">   MELANGES BITUMINEUX A BASE D'ASPHALTE OU DE BITUME NATURELS, DE BITUME DE PETROLE, DE G</v>
      </c>
      <c r="C98">
        <v>586.23</v>
      </c>
      <c r="D98">
        <v>240354300</v>
      </c>
    </row>
    <row r="99" spans="1:4" x14ac:dyDescent="0.25">
      <c r="A99" t="str">
        <f>T("   300490")</f>
        <v xml:space="preserve">   300490</v>
      </c>
      <c r="B99" t="str">
        <f>T("   AUTRES")</f>
        <v xml:space="preserve">   AUTRES</v>
      </c>
      <c r="C99">
        <v>270</v>
      </c>
      <c r="D99">
        <v>2760846</v>
      </c>
    </row>
    <row r="100" spans="1:4" x14ac:dyDescent="0.25">
      <c r="A100" t="str">
        <f>T("   320890")</f>
        <v xml:space="preserve">   320890</v>
      </c>
      <c r="B100" t="str">
        <f>T("   AUTRES")</f>
        <v xml:space="preserve">   AUTRES</v>
      </c>
      <c r="C100">
        <v>4400</v>
      </c>
      <c r="D100">
        <v>6920000</v>
      </c>
    </row>
    <row r="101" spans="1:4" x14ac:dyDescent="0.25">
      <c r="A101" t="str">
        <f>T("   441239")</f>
        <v xml:space="preserve">   441239</v>
      </c>
      <c r="B101" t="str">
        <f>T("   AUTRES")</f>
        <v xml:space="preserve">   AUTRES</v>
      </c>
      <c r="C101">
        <v>30000</v>
      </c>
      <c r="D101">
        <v>4500000</v>
      </c>
    </row>
    <row r="102" spans="1:4" x14ac:dyDescent="0.25">
      <c r="A102" t="str">
        <f>T("   481910")</f>
        <v xml:space="preserve">   481910</v>
      </c>
      <c r="B102" t="str">
        <f>T("   BOITES ET CAISSES EN PAPIER OU CARTON ONDULE")</f>
        <v xml:space="preserve">   BOITES ET CAISSES EN PAPIER OU CARTON ONDULE</v>
      </c>
      <c r="C102">
        <v>17306</v>
      </c>
      <c r="D102">
        <v>5902385</v>
      </c>
    </row>
    <row r="103" spans="1:4" x14ac:dyDescent="0.25">
      <c r="A103" t="str">
        <f>T("   490700")</f>
        <v xml:space="preserve">   490700</v>
      </c>
      <c r="B103" t="str">
        <f>T("   TIMBRESPOSTE, TIMBRES FISCAUX ET ANALOGUES, NON OBLITERES, AYANT COURS OU DESTINES A A")</f>
        <v xml:space="preserve">   TIMBRESPOSTE, TIMBRES FISCAUX ET ANALOGUES, NON OBLITERES, AYANT COURS OU DESTINES A A</v>
      </c>
      <c r="C103">
        <v>7690</v>
      </c>
      <c r="D103">
        <v>90900000</v>
      </c>
    </row>
    <row r="104" spans="1:4" x14ac:dyDescent="0.25">
      <c r="A104" t="str">
        <f>T("   491110")</f>
        <v xml:space="preserve">   491110</v>
      </c>
      <c r="B104" t="str">
        <f>T("   IMPRIMES PUBLICITAIRES, CATALOGUES COMMERCIAUX ET SIMILAIRES")</f>
        <v xml:space="preserve">   IMPRIMES PUBLICITAIRES, CATALOGUES COMMERCIAUX ET SIMILAIRES</v>
      </c>
      <c r="C104">
        <v>626</v>
      </c>
      <c r="D104">
        <v>611520</v>
      </c>
    </row>
    <row r="105" spans="1:4" x14ac:dyDescent="0.25">
      <c r="A105" t="str">
        <f>T("   620590")</f>
        <v xml:space="preserve">   620590</v>
      </c>
      <c r="B105" t="str">
        <f>T("   D'AUTRES MATIERES TEXTILES")</f>
        <v xml:space="preserve">   D'AUTRES MATIERES TEXTILES</v>
      </c>
      <c r="C105">
        <v>1100</v>
      </c>
      <c r="D105">
        <v>1200000</v>
      </c>
    </row>
    <row r="106" spans="1:4" x14ac:dyDescent="0.25">
      <c r="A106" t="str">
        <f>T("   690890")</f>
        <v xml:space="preserve">   690890</v>
      </c>
      <c r="B106" t="str">
        <f>T("   AUTRES")</f>
        <v xml:space="preserve">   AUTRES</v>
      </c>
      <c r="C106">
        <v>6000</v>
      </c>
      <c r="D106">
        <v>1200000</v>
      </c>
    </row>
    <row r="107" spans="1:4" x14ac:dyDescent="0.25">
      <c r="A107" t="str">
        <f>T("   701090")</f>
        <v xml:space="preserve">   701090</v>
      </c>
      <c r="B107" t="str">
        <f>T("   AUTRES")</f>
        <v xml:space="preserve">   AUTRES</v>
      </c>
      <c r="C107">
        <v>49000</v>
      </c>
      <c r="D107">
        <v>1695750</v>
      </c>
    </row>
    <row r="108" spans="1:4" x14ac:dyDescent="0.25">
      <c r="A108" t="str">
        <f>T("   720838")</f>
        <v xml:space="preserve">   720838</v>
      </c>
      <c r="B108" t="str">
        <f>T("   D'UNE EPAISSEUR DE 3 MM OU PLUS MAIS INFERIEURE A 4,75 MM")</f>
        <v xml:space="preserve">   D'UNE EPAISSEUR DE 3 MM OU PLUS MAIS INFERIEURE A 4,75 MM</v>
      </c>
      <c r="C108">
        <v>900000</v>
      </c>
      <c r="D108">
        <v>278957850</v>
      </c>
    </row>
    <row r="109" spans="1:4" x14ac:dyDescent="0.25">
      <c r="A109" t="str">
        <f>T("   720890")</f>
        <v xml:space="preserve">   720890</v>
      </c>
      <c r="B109" t="str">
        <f>T("   AUTRES")</f>
        <v xml:space="preserve">   AUTRES</v>
      </c>
      <c r="C109">
        <v>4625</v>
      </c>
      <c r="D109">
        <v>1665610</v>
      </c>
    </row>
    <row r="110" spans="1:4" x14ac:dyDescent="0.25">
      <c r="A110" t="str">
        <f>T("   720917")</f>
        <v xml:space="preserve">   720917</v>
      </c>
      <c r="B110" t="str">
        <f>T("   D'UNE EPAISSEUR DE 0,5 MM OU PLUS MAIS N'EXCEDANT PAS 1 MM")</f>
        <v xml:space="preserve">   D'UNE EPAISSEUR DE 0,5 MM OU PLUS MAIS N'EXCEDANT PAS 1 MM</v>
      </c>
      <c r="C110">
        <v>786162</v>
      </c>
      <c r="D110">
        <v>277175030</v>
      </c>
    </row>
    <row r="111" spans="1:4" x14ac:dyDescent="0.25">
      <c r="A111" t="str">
        <f>T("   720990")</f>
        <v xml:space="preserve">   720990</v>
      </c>
      <c r="B111" t="str">
        <f>T("   AUTRES")</f>
        <v xml:space="preserve">   AUTRES</v>
      </c>
      <c r="C111">
        <v>80410</v>
      </c>
      <c r="D111">
        <v>29590880</v>
      </c>
    </row>
    <row r="112" spans="1:4" x14ac:dyDescent="0.25">
      <c r="A112" t="str">
        <f>T("   721391")</f>
        <v xml:space="preserve">   721391</v>
      </c>
      <c r="B112" t="str">
        <f>T("   DE SECTION CIRCULAIRE D'UN DIAMETRE INFERIEUR A 14 MM")</f>
        <v xml:space="preserve">   DE SECTION CIRCULAIRE D'UN DIAMETRE INFERIEUR A 14 MM</v>
      </c>
      <c r="C112">
        <v>916000</v>
      </c>
      <c r="D112">
        <v>236027370</v>
      </c>
    </row>
    <row r="113" spans="1:4" x14ac:dyDescent="0.25">
      <c r="A113" t="str">
        <f>T("   730120")</f>
        <v xml:space="preserve">   730120</v>
      </c>
      <c r="B113" t="str">
        <f>T("   PROFILES")</f>
        <v xml:space="preserve">   PROFILES</v>
      </c>
      <c r="C113">
        <v>4625</v>
      </c>
      <c r="D113">
        <v>1475844</v>
      </c>
    </row>
    <row r="114" spans="1:4" x14ac:dyDescent="0.25">
      <c r="A114" t="str">
        <f>T("   731021")</f>
        <v xml:space="preserve">   731021</v>
      </c>
      <c r="B114" t="str">
        <f>T("   BOITES A FERMER PAR SOUDAGE OU SERTISSAGE")</f>
        <v xml:space="preserve">   BOITES A FERMER PAR SOUDAGE OU SERTISSAGE</v>
      </c>
      <c r="C114">
        <v>60940</v>
      </c>
      <c r="D114">
        <v>26093488</v>
      </c>
    </row>
    <row r="115" spans="1:4" x14ac:dyDescent="0.25">
      <c r="A115" t="str">
        <f>T("   731700")</f>
        <v xml:space="preserve">   731700</v>
      </c>
      <c r="B115" t="str">
        <f>T("   POINTES, CLOUS, PUNAISES, CRAMPONS APPOINTES, AGRAFES ONDULEES OU BISEAUTEES ET ARTICLE")</f>
        <v xml:space="preserve">   POINTES, CLOUS, PUNAISES, CRAMPONS APPOINTES, AGRAFES ONDULEES OU BISEAUTEES ET ARTICLE</v>
      </c>
      <c r="C115">
        <v>16000</v>
      </c>
      <c r="D115">
        <v>4261120</v>
      </c>
    </row>
    <row r="116" spans="1:4" x14ac:dyDescent="0.25">
      <c r="A116" t="str">
        <f>T("   732394")</f>
        <v xml:space="preserve">   732394</v>
      </c>
      <c r="B116" t="str">
        <f>T("   EN FER OU EN ACIER, EMAILLES")</f>
        <v xml:space="preserve">   EN FER OU EN ACIER, EMAILLES</v>
      </c>
      <c r="C116">
        <v>400</v>
      </c>
      <c r="D116">
        <v>400000</v>
      </c>
    </row>
    <row r="117" spans="1:4" x14ac:dyDescent="0.25">
      <c r="A117" t="str">
        <f>T("   842959")</f>
        <v xml:space="preserve">   842959</v>
      </c>
      <c r="B117" t="str">
        <f>T("   AUTRES")</f>
        <v xml:space="preserve">   AUTRES</v>
      </c>
      <c r="C117">
        <v>36000</v>
      </c>
      <c r="D117">
        <v>6000000</v>
      </c>
    </row>
    <row r="118" spans="1:4" x14ac:dyDescent="0.25">
      <c r="A118" t="str">
        <f>T("   847981")</f>
        <v xml:space="preserve">   847981</v>
      </c>
      <c r="B118" t="str">
        <f>T("   POUR LE TRAITEMENT DES METAUX, Y COMPRIS LES BOBINEUSES POUR ENROULEMENTS ELECTRIQUE")</f>
        <v xml:space="preserve">   POUR LE TRAITEMENT DES METAUX, Y COMPRIS LES BOBINEUSES POUR ENROULEMENTS ELECTRIQUE</v>
      </c>
      <c r="C118">
        <v>3550</v>
      </c>
      <c r="D118">
        <v>2500000</v>
      </c>
    </row>
    <row r="119" spans="1:4" x14ac:dyDescent="0.25">
      <c r="A119" t="str">
        <f>T("   850239")</f>
        <v xml:space="preserve">   850239</v>
      </c>
      <c r="B119" t="str">
        <f>T("   AUTRES")</f>
        <v xml:space="preserve">   AUTRES</v>
      </c>
      <c r="C119">
        <v>2800</v>
      </c>
      <c r="D119">
        <v>988900</v>
      </c>
    </row>
    <row r="120" spans="1:4" x14ac:dyDescent="0.25">
      <c r="A120" t="str">
        <f>T("   870323")</f>
        <v xml:space="preserve">   870323</v>
      </c>
      <c r="B120" t="str">
        <f>T("   D’UNE CYLINDREE EXCEDANT 1.500 CM³ MAIS N’EXCEDANT PAS 3.000 CM³")</f>
        <v xml:space="preserve">   D’UNE CYLINDREE EXCEDANT 1.500 CM³ MAIS N’EXCEDANT PAS 3.000 CM³</v>
      </c>
      <c r="C120">
        <v>6389</v>
      </c>
      <c r="D120">
        <v>40045029</v>
      </c>
    </row>
    <row r="121" spans="1:4" x14ac:dyDescent="0.25">
      <c r="A121" t="str">
        <f>T("   902580")</f>
        <v xml:space="preserve">   902580</v>
      </c>
      <c r="B121" t="str">
        <f>T("   AUTRES INSTRUMENTS")</f>
        <v xml:space="preserve">   AUTRES INSTRUMENTS</v>
      </c>
      <c r="C121">
        <v>28</v>
      </c>
      <c r="D121">
        <v>500000</v>
      </c>
    </row>
    <row r="122" spans="1:4" x14ac:dyDescent="0.25">
      <c r="A122" t="str">
        <f>T("   940350")</f>
        <v xml:space="preserve">   940350</v>
      </c>
      <c r="B122" t="str">
        <f>T("   MEUBLES EN BOIS DES TYPES UTILISES DANS LES CHAMBRES A COUCHER")</f>
        <v xml:space="preserve">   MEUBLES EN BOIS DES TYPES UTILISES DANS LES CHAMBRES A COUCHER</v>
      </c>
      <c r="C122">
        <v>3000</v>
      </c>
      <c r="D122">
        <v>2400000</v>
      </c>
    </row>
    <row r="123" spans="1:4" s="1" customFormat="1" x14ac:dyDescent="0.25">
      <c r="A123" s="1" t="str">
        <f>T("   ZZ_Total_Produit_SH6")</f>
        <v xml:space="preserve">   ZZ_Total_Produit_SH6</v>
      </c>
      <c r="B123" s="1" t="str">
        <f>T("   ZZ_Total_Produit_SH6")</f>
        <v xml:space="preserve">   ZZ_Total_Produit_SH6</v>
      </c>
      <c r="C123" s="1">
        <v>4715206.37</v>
      </c>
      <c r="D123" s="1">
        <v>1681179776</v>
      </c>
    </row>
    <row r="124" spans="1:4" s="1" customFormat="1" x14ac:dyDescent="0.25">
      <c r="B124" s="1" t="str">
        <f>T("Burundi")</f>
        <v>Burundi</v>
      </c>
    </row>
    <row r="125" spans="1:4" x14ac:dyDescent="0.25">
      <c r="A125" t="str">
        <f>T("   121230")</f>
        <v xml:space="preserve">   121230</v>
      </c>
      <c r="B125" t="str">
        <f>T("   NOYAUX,AMANDES D'ABRICOTS,PECHES,PRUNES,DESTINES A L'ALIMENTATION HUMAINE")</f>
        <v xml:space="preserve">   NOYAUX,AMANDES D'ABRICOTS,PECHES,PRUNES,DESTINES A L'ALIMENTATION HUMAINE</v>
      </c>
      <c r="C125">
        <v>44</v>
      </c>
      <c r="D125">
        <v>5956089</v>
      </c>
    </row>
    <row r="126" spans="1:4" s="1" customFormat="1" x14ac:dyDescent="0.25">
      <c r="A126" s="1" t="str">
        <f>T("   ZZ_Total_Produit_SH6")</f>
        <v xml:space="preserve">   ZZ_Total_Produit_SH6</v>
      </c>
      <c r="B126" s="1" t="str">
        <f>T("   ZZ_Total_Produit_SH6")</f>
        <v xml:space="preserve">   ZZ_Total_Produit_SH6</v>
      </c>
      <c r="C126" s="1">
        <v>44</v>
      </c>
      <c r="D126" s="1">
        <v>5956089</v>
      </c>
    </row>
    <row r="127" spans="1:4" s="1" customFormat="1" x14ac:dyDescent="0.25">
      <c r="B127" s="1" t="str">
        <f>T("Brésil")</f>
        <v>Brésil</v>
      </c>
    </row>
    <row r="128" spans="1:4" x14ac:dyDescent="0.25">
      <c r="A128" t="str">
        <f>T("   030611")</f>
        <v xml:space="preserve">   030611</v>
      </c>
      <c r="B128" t="str">
        <f>T("   LANGOUSTES (PALINURUS SPP., PANULIRUS SPP., JASUS SPP.)")</f>
        <v xml:space="preserve">   LANGOUSTES (PALINURUS SPP., PANULIRUS SPP., JASUS SPP.)</v>
      </c>
      <c r="C128">
        <v>150</v>
      </c>
      <c r="D128">
        <v>60000</v>
      </c>
    </row>
    <row r="129" spans="1:4" x14ac:dyDescent="0.25">
      <c r="A129" t="str">
        <f>T("   520100")</f>
        <v xml:space="preserve">   520100</v>
      </c>
      <c r="B129" t="str">
        <f>T("   COTON, NON CARDE NI PEIGNE.")</f>
        <v xml:space="preserve">   COTON, NON CARDE NI PEIGNE.</v>
      </c>
      <c r="C129">
        <v>484161</v>
      </c>
      <c r="D129">
        <v>459934199</v>
      </c>
    </row>
    <row r="130" spans="1:4" x14ac:dyDescent="0.25">
      <c r="A130" t="str">
        <f>T("   970300")</f>
        <v xml:space="preserve">   970300</v>
      </c>
      <c r="B130" t="str">
        <f>T("   PRODUCTIONS ORIGINALES DE L'ART STATUAIRE OU DE LA SCULPTURE, EN TOUTES MATIERES.")</f>
        <v xml:space="preserve">   PRODUCTIONS ORIGINALES DE L'ART STATUAIRE OU DE LA SCULPTURE, EN TOUTES MATIERES.</v>
      </c>
      <c r="C130">
        <v>172</v>
      </c>
      <c r="D130">
        <v>180000</v>
      </c>
    </row>
    <row r="131" spans="1:4" s="1" customFormat="1" x14ac:dyDescent="0.25">
      <c r="A131" s="1" t="str">
        <f>T("   ZZ_Total_Produit_SH6")</f>
        <v xml:space="preserve">   ZZ_Total_Produit_SH6</v>
      </c>
      <c r="B131" s="1" t="str">
        <f>T("   ZZ_Total_Produit_SH6")</f>
        <v xml:space="preserve">   ZZ_Total_Produit_SH6</v>
      </c>
      <c r="C131" s="1">
        <v>484483</v>
      </c>
      <c r="D131" s="1">
        <v>460174199</v>
      </c>
    </row>
    <row r="132" spans="1:4" s="1" customFormat="1" x14ac:dyDescent="0.25">
      <c r="B132" s="1" t="str">
        <f>T("Belize")</f>
        <v>Belize</v>
      </c>
    </row>
    <row r="133" spans="1:4" x14ac:dyDescent="0.25">
      <c r="A133" t="str">
        <f>T("   251690")</f>
        <v xml:space="preserve">   251690</v>
      </c>
      <c r="B133" t="str">
        <f>T("   AUTRES PIERRES DE TAILLE OU DE CONSTRUCTION")</f>
        <v xml:space="preserve">   AUTRES PIERRES DE TAILLE OU DE CONSTRUCTION</v>
      </c>
      <c r="C133">
        <v>169</v>
      </c>
      <c r="D133">
        <v>3983168</v>
      </c>
    </row>
    <row r="134" spans="1:4" x14ac:dyDescent="0.25">
      <c r="A134" t="str">
        <f>T("   970600")</f>
        <v xml:space="preserve">   970600</v>
      </c>
      <c r="B134" t="str">
        <f>T("   OBJETS D'ANTIQUITE AYANT PLUS DE 100 ANS D'AGE.")</f>
        <v xml:space="preserve">   OBJETS D'ANTIQUITE AYANT PLUS DE 100 ANS D'AGE.</v>
      </c>
      <c r="C134">
        <v>608</v>
      </c>
      <c r="D134">
        <v>275000</v>
      </c>
    </row>
    <row r="135" spans="1:4" s="1" customFormat="1" x14ac:dyDescent="0.25">
      <c r="A135" s="1" t="str">
        <f>T("   ZZ_Total_Produit_SH6")</f>
        <v xml:space="preserve">   ZZ_Total_Produit_SH6</v>
      </c>
      <c r="B135" s="1" t="str">
        <f>T("   ZZ_Total_Produit_SH6")</f>
        <v xml:space="preserve">   ZZ_Total_Produit_SH6</v>
      </c>
      <c r="C135" s="1">
        <v>777</v>
      </c>
      <c r="D135" s="1">
        <v>4258168</v>
      </c>
    </row>
    <row r="136" spans="1:4" s="1" customFormat="1" x14ac:dyDescent="0.25">
      <c r="B136" s="1" t="str">
        <f>T("Canada")</f>
        <v>Canada</v>
      </c>
    </row>
    <row r="137" spans="1:4" x14ac:dyDescent="0.25">
      <c r="A137" t="str">
        <f>T("   390710")</f>
        <v xml:space="preserve">   390710</v>
      </c>
      <c r="B137" t="str">
        <f>T("   POLYACETALS")</f>
        <v xml:space="preserve">   POLYACETALS</v>
      </c>
      <c r="C137">
        <v>152</v>
      </c>
      <c r="D137">
        <v>14002406</v>
      </c>
    </row>
    <row r="138" spans="1:4" x14ac:dyDescent="0.25">
      <c r="A138" t="str">
        <f>T("   491199")</f>
        <v xml:space="preserve">   491199</v>
      </c>
      <c r="B138" t="str">
        <f>T("   AUTRES")</f>
        <v xml:space="preserve">   AUTRES</v>
      </c>
      <c r="C138">
        <v>9</v>
      </c>
      <c r="D138">
        <v>641900</v>
      </c>
    </row>
    <row r="139" spans="1:4" x14ac:dyDescent="0.25">
      <c r="A139" t="str">
        <f>T("   621040")</f>
        <v xml:space="preserve">   621040</v>
      </c>
      <c r="B139" t="str">
        <f>T("   AUTRES VETEMENTS POUR HOMMES OU GARCONNETS")</f>
        <v xml:space="preserve">   AUTRES VETEMENTS POUR HOMMES OU GARCONNETS</v>
      </c>
      <c r="C139">
        <v>630</v>
      </c>
      <c r="D139">
        <v>1000000</v>
      </c>
    </row>
    <row r="140" spans="1:4" x14ac:dyDescent="0.25">
      <c r="A140" t="str">
        <f>T("   820559")</f>
        <v xml:space="preserve">   820559</v>
      </c>
      <c r="B140" t="str">
        <f>T("   AUTRES")</f>
        <v xml:space="preserve">   AUTRES</v>
      </c>
      <c r="C140">
        <v>69.42</v>
      </c>
      <c r="D140">
        <v>24350057</v>
      </c>
    </row>
    <row r="141" spans="1:4" x14ac:dyDescent="0.25">
      <c r="A141" t="str">
        <f>T("   820719")</f>
        <v xml:space="preserve">   820719</v>
      </c>
      <c r="B141" t="str">
        <f>T("   AUTRES, Y COMPRIS LES PARTIES")</f>
        <v xml:space="preserve">   AUTRES, Y COMPRIS LES PARTIES</v>
      </c>
      <c r="C141">
        <v>70</v>
      </c>
      <c r="D141">
        <v>18439837</v>
      </c>
    </row>
    <row r="142" spans="1:4" x14ac:dyDescent="0.25">
      <c r="A142" t="str">
        <f>T("   841311")</f>
        <v xml:space="preserve">   841311</v>
      </c>
      <c r="B142" t="str">
        <f>T("   POMPES POUR LA DISTRIBUTION DE CARBURANTS OU DE LUBRIFIANTS, DES TYPES UTILISES DANS")</f>
        <v xml:space="preserve">   POMPES POUR LA DISTRIBUTION DE CARBURANTS OU DE LUBRIFIANTS, DES TYPES UTILISES DANS</v>
      </c>
      <c r="C142">
        <v>209</v>
      </c>
      <c r="D142">
        <v>4448066</v>
      </c>
    </row>
    <row r="143" spans="1:4" x14ac:dyDescent="0.25">
      <c r="A143" t="str">
        <f>T("   841582")</f>
        <v xml:space="preserve">   841582</v>
      </c>
      <c r="B143" t="str">
        <f>T("   AUTRES, AVEC DISPOSITIF DE REFRIGERATION")</f>
        <v xml:space="preserve">   AUTRES, AVEC DISPOSITIF DE REFRIGERATION</v>
      </c>
      <c r="C143">
        <v>342</v>
      </c>
      <c r="D143">
        <v>7294168</v>
      </c>
    </row>
    <row r="144" spans="1:4" x14ac:dyDescent="0.25">
      <c r="A144" t="str">
        <f>T("   842121")</f>
        <v xml:space="preserve">   842121</v>
      </c>
      <c r="B144" t="str">
        <f>T("   POUR LA FILTRATION OU L'EPURATION DES EAUX")</f>
        <v xml:space="preserve">   POUR LA FILTRATION OU L'EPURATION DES EAUX</v>
      </c>
      <c r="C144">
        <v>133</v>
      </c>
      <c r="D144">
        <v>2825543</v>
      </c>
    </row>
    <row r="145" spans="1:4" x14ac:dyDescent="0.25">
      <c r="A145" t="str">
        <f>T("   842511")</f>
        <v xml:space="preserve">   842511</v>
      </c>
      <c r="B145" t="str">
        <f>T("   A MOTEUR ELECTRIQUE")</f>
        <v xml:space="preserve">   A MOTEUR ELECTRIQUE</v>
      </c>
      <c r="C145">
        <v>783</v>
      </c>
      <c r="D145">
        <v>34112844</v>
      </c>
    </row>
    <row r="146" spans="1:4" x14ac:dyDescent="0.25">
      <c r="A146" t="str">
        <f>T("   847990")</f>
        <v xml:space="preserve">   847990</v>
      </c>
      <c r="B146" t="str">
        <f>T("   PARTIES")</f>
        <v xml:space="preserve">   PARTIES</v>
      </c>
      <c r="C146">
        <v>1.5</v>
      </c>
      <c r="D146">
        <v>543374</v>
      </c>
    </row>
    <row r="147" spans="1:4" x14ac:dyDescent="0.25">
      <c r="A147" t="str">
        <f>T("   852610")</f>
        <v xml:space="preserve">   852610</v>
      </c>
      <c r="B147" t="str">
        <f>T("   Appareils de radiodetection et de radiosondage (radar)")</f>
        <v xml:space="preserve">   Appareils de radiodetection et de radiosondage (radar)</v>
      </c>
      <c r="C147">
        <v>1</v>
      </c>
      <c r="D147">
        <v>1863318</v>
      </c>
    </row>
    <row r="148" spans="1:4" x14ac:dyDescent="0.25">
      <c r="A148" t="str">
        <f>T("   880330")</f>
        <v xml:space="preserve">   880330</v>
      </c>
      <c r="B148" t="str">
        <f>T("   AUTRES PARTIES D'AVIONS OU D'HELICOPTERES")</f>
        <v xml:space="preserve">   AUTRES PARTIES D'AVIONS OU D'HELICOPTERES</v>
      </c>
      <c r="C148">
        <v>79.5</v>
      </c>
      <c r="D148">
        <v>7456949</v>
      </c>
    </row>
    <row r="149" spans="1:4" x14ac:dyDescent="0.25">
      <c r="A149" t="str">
        <f>T("   901600")</f>
        <v xml:space="preserve">   901600</v>
      </c>
      <c r="B149" t="str">
        <f>T("   BALANCES SENSIBLES A UN POIDS DE 5 CG OU MOINS, AVEC OU SANS POIDS.")</f>
        <v xml:space="preserve">   BALANCES SENSIBLES A UN POIDS DE 5 CG OU MOINS, AVEC OU SANS POIDS.</v>
      </c>
      <c r="C149">
        <v>43.4</v>
      </c>
      <c r="D149">
        <v>25122378</v>
      </c>
    </row>
    <row r="150" spans="1:4" x14ac:dyDescent="0.25">
      <c r="A150" t="str">
        <f>T("   902610")</f>
        <v xml:space="preserve">   902610</v>
      </c>
      <c r="B150" t="str">
        <f>T("   POUR LA MESURE OU LE CONTROLE DU DEBIT OU DU NIVEAU DES LIQUIDES")</f>
        <v xml:space="preserve">   POUR LA MESURE OU LE CONTROLE DU DEBIT OU DU NIVEAU DES LIQUIDES</v>
      </c>
      <c r="C150">
        <v>0.03</v>
      </c>
      <c r="D150">
        <v>9562</v>
      </c>
    </row>
    <row r="151" spans="1:4" x14ac:dyDescent="0.25">
      <c r="A151" t="str">
        <f>T("   902620")</f>
        <v xml:space="preserve">   902620</v>
      </c>
      <c r="B151" t="str">
        <f>T("   POUR LA MESURE OU LE CONTROLE DE LA PRESSION")</f>
        <v xml:space="preserve">   POUR LA MESURE OU LE CONTROLE DE LA PRESSION</v>
      </c>
      <c r="C151">
        <v>26</v>
      </c>
      <c r="D151">
        <v>20787571</v>
      </c>
    </row>
    <row r="152" spans="1:4" x14ac:dyDescent="0.25">
      <c r="A152" t="str">
        <f>T("   940350")</f>
        <v xml:space="preserve">   940350</v>
      </c>
      <c r="B152" t="str">
        <f>T("   MEUBLES EN BOIS DES TYPES UTILISES DANS LES CHAMBRES A COUCHER")</f>
        <v xml:space="preserve">   MEUBLES EN BOIS DES TYPES UTILISES DANS LES CHAMBRES A COUCHER</v>
      </c>
      <c r="C152">
        <v>1500</v>
      </c>
      <c r="D152">
        <v>2500000</v>
      </c>
    </row>
    <row r="153" spans="1:4" s="1" customFormat="1" x14ac:dyDescent="0.25">
      <c r="A153" s="1" t="str">
        <f>T("   ZZ_Total_Produit_SH6")</f>
        <v xml:space="preserve">   ZZ_Total_Produit_SH6</v>
      </c>
      <c r="B153" s="1" t="str">
        <f>T("   ZZ_Total_Produit_SH6")</f>
        <v xml:space="preserve">   ZZ_Total_Produit_SH6</v>
      </c>
      <c r="C153" s="1">
        <v>4048.85</v>
      </c>
      <c r="D153" s="1">
        <v>165397973</v>
      </c>
    </row>
    <row r="154" spans="1:4" s="1" customFormat="1" x14ac:dyDescent="0.25">
      <c r="B154" s="1" t="str">
        <f>T("Congo, République Démocratique")</f>
        <v>Congo, République Démocratique</v>
      </c>
    </row>
    <row r="155" spans="1:4" x14ac:dyDescent="0.25">
      <c r="A155" t="str">
        <f>T("   110620")</f>
        <v xml:space="preserve">   110620</v>
      </c>
      <c r="B155" t="str">
        <f>T("   DE SAGOU OU DES RACINES OU TUBERCULES DU N° 07.14")</f>
        <v xml:space="preserve">   DE SAGOU OU DES RACINES OU TUBERCULES DU N° 07.14</v>
      </c>
      <c r="C155">
        <v>21200</v>
      </c>
      <c r="D155">
        <v>3576000</v>
      </c>
    </row>
    <row r="156" spans="1:4" x14ac:dyDescent="0.25">
      <c r="A156" t="str">
        <f>T("   121230")</f>
        <v xml:space="preserve">   121230</v>
      </c>
      <c r="B156" t="str">
        <f>T("   NOYAUX,AMANDES D'ABRICOTS,PECHES,PRUNES,DESTINES A L'ALIMENTATION HUMAINE")</f>
        <v xml:space="preserve">   NOYAUX,AMANDES D'ABRICOTS,PECHES,PRUNES,DESTINES A L'ALIMENTATION HUMAINE</v>
      </c>
      <c r="C156">
        <v>172</v>
      </c>
      <c r="D156">
        <v>18760370</v>
      </c>
    </row>
    <row r="157" spans="1:4" x14ac:dyDescent="0.25">
      <c r="A157" t="str">
        <f>T("   340119")</f>
        <v xml:space="preserve">   340119</v>
      </c>
      <c r="B157" t="str">
        <f>T("   AUTRES")</f>
        <v xml:space="preserve">   AUTRES</v>
      </c>
      <c r="C157">
        <v>23800</v>
      </c>
      <c r="D157">
        <v>17280000</v>
      </c>
    </row>
    <row r="158" spans="1:4" x14ac:dyDescent="0.25">
      <c r="A158" t="str">
        <f>T("   520859")</f>
        <v xml:space="preserve">   520859</v>
      </c>
      <c r="B158" t="str">
        <f>T("   AUTRES TISSUS")</f>
        <v xml:space="preserve">   AUTRES TISSUS</v>
      </c>
      <c r="C158">
        <v>19880</v>
      </c>
      <c r="D158">
        <v>12000000</v>
      </c>
    </row>
    <row r="159" spans="1:4" x14ac:dyDescent="0.25">
      <c r="A159" t="str">
        <f>T("   620590")</f>
        <v xml:space="preserve">   620590</v>
      </c>
      <c r="B159" t="str">
        <f>T("   D'AUTRES MATIERES TEXTILES")</f>
        <v xml:space="preserve">   D'AUTRES MATIERES TEXTILES</v>
      </c>
      <c r="C159">
        <v>1100</v>
      </c>
      <c r="D159">
        <v>1300000</v>
      </c>
    </row>
    <row r="160" spans="1:4" x14ac:dyDescent="0.25">
      <c r="A160" t="str">
        <f>T("   732394")</f>
        <v xml:space="preserve">   732394</v>
      </c>
      <c r="B160" t="str">
        <f>T("   EN FER OU EN ACIER, EMAILLES")</f>
        <v xml:space="preserve">   EN FER OU EN ACIER, EMAILLES</v>
      </c>
      <c r="C160">
        <v>700</v>
      </c>
      <c r="D160">
        <v>700000</v>
      </c>
    </row>
    <row r="161" spans="1:4" x14ac:dyDescent="0.25">
      <c r="A161" t="str">
        <f>T("   848060")</f>
        <v xml:space="preserve">   848060</v>
      </c>
      <c r="B161" t="str">
        <f>T("   MOULES POUR LES MATIERES MINERALES")</f>
        <v xml:space="preserve">   MOULES POUR LES MATIERES MINERALES</v>
      </c>
      <c r="C161">
        <v>200</v>
      </c>
      <c r="D161">
        <v>400000</v>
      </c>
    </row>
    <row r="162" spans="1:4" x14ac:dyDescent="0.25">
      <c r="A162" t="str">
        <f>T("   854470")</f>
        <v xml:space="preserve">   854470</v>
      </c>
      <c r="B162" t="str">
        <f>T("   Cables de fibres optiques")</f>
        <v xml:space="preserve">   Cables de fibres optiques</v>
      </c>
      <c r="C162">
        <v>6432</v>
      </c>
      <c r="D162">
        <v>46809449</v>
      </c>
    </row>
    <row r="163" spans="1:4" x14ac:dyDescent="0.25">
      <c r="A163" t="str">
        <f>T("   870323")</f>
        <v xml:space="preserve">   870323</v>
      </c>
      <c r="B163" t="str">
        <f>T("   D’UNE CYLINDREE EXCEDANT 1.500 CM³ MAIS N’EXCEDANT PAS 3.000 CM³")</f>
        <v xml:space="preserve">   D’UNE CYLINDREE EXCEDANT 1.500 CM³ MAIS N’EXCEDANT PAS 3.000 CM³</v>
      </c>
      <c r="C163">
        <v>3075</v>
      </c>
      <c r="D163">
        <v>4200000</v>
      </c>
    </row>
    <row r="164" spans="1:4" x14ac:dyDescent="0.25">
      <c r="A164" t="str">
        <f>T("   940350")</f>
        <v xml:space="preserve">   940350</v>
      </c>
      <c r="B164" t="str">
        <f>T("   MEUBLES EN BOIS DES TYPES UTILISES DANS LES CHAMBRES A COUCHER")</f>
        <v xml:space="preserve">   MEUBLES EN BOIS DES TYPES UTILISES DANS LES CHAMBRES A COUCHER</v>
      </c>
      <c r="C164">
        <v>2700</v>
      </c>
      <c r="D164">
        <v>2000000</v>
      </c>
    </row>
    <row r="165" spans="1:4" x14ac:dyDescent="0.25">
      <c r="A165" t="str">
        <f>T("   940360")</f>
        <v xml:space="preserve">   940360</v>
      </c>
      <c r="B165" t="str">
        <f>T("   Autres meubles en bois")</f>
        <v xml:space="preserve">   Autres meubles en bois</v>
      </c>
      <c r="C165">
        <v>1287</v>
      </c>
      <c r="D165">
        <v>2000000</v>
      </c>
    </row>
    <row r="166" spans="1:4" s="1" customFormat="1" x14ac:dyDescent="0.25">
      <c r="A166" s="1" t="str">
        <f>T("   ZZ_Total_Produit_SH6")</f>
        <v xml:space="preserve">   ZZ_Total_Produit_SH6</v>
      </c>
      <c r="B166" s="1" t="str">
        <f>T("   ZZ_Total_Produit_SH6")</f>
        <v xml:space="preserve">   ZZ_Total_Produit_SH6</v>
      </c>
      <c r="C166" s="1">
        <v>80546</v>
      </c>
      <c r="D166" s="1">
        <v>109025819</v>
      </c>
    </row>
    <row r="167" spans="1:4" s="1" customFormat="1" x14ac:dyDescent="0.25">
      <c r="B167" s="1" t="str">
        <f>T("Centrafricaine, République")</f>
        <v>Centrafricaine, République</v>
      </c>
    </row>
    <row r="168" spans="1:4" x14ac:dyDescent="0.25">
      <c r="A168" t="str">
        <f>T("   120799")</f>
        <v xml:space="preserve">   120799</v>
      </c>
      <c r="B168" t="str">
        <f>T("   AUTRES")</f>
        <v xml:space="preserve">   AUTRES</v>
      </c>
      <c r="C168">
        <v>63</v>
      </c>
      <c r="D168">
        <v>7215527</v>
      </c>
    </row>
    <row r="169" spans="1:4" x14ac:dyDescent="0.25">
      <c r="A169" t="str">
        <f>T("   870324")</f>
        <v xml:space="preserve">   870324</v>
      </c>
      <c r="B169" t="str">
        <f>T("   D’UNE CYLINDREE EXCEDANT 3.000 CM³")</f>
        <v xml:space="preserve">   D’UNE CYLINDREE EXCEDANT 3.000 CM³</v>
      </c>
      <c r="C169">
        <v>18416</v>
      </c>
      <c r="D169">
        <v>226608056</v>
      </c>
    </row>
    <row r="170" spans="1:4" s="1" customFormat="1" x14ac:dyDescent="0.25">
      <c r="A170" s="1" t="str">
        <f>T("   ZZ_Total_Produit_SH6")</f>
        <v xml:space="preserve">   ZZ_Total_Produit_SH6</v>
      </c>
      <c r="B170" s="1" t="str">
        <f>T("   ZZ_Total_Produit_SH6")</f>
        <v xml:space="preserve">   ZZ_Total_Produit_SH6</v>
      </c>
      <c r="C170" s="1">
        <v>18479</v>
      </c>
      <c r="D170" s="1">
        <v>233823583</v>
      </c>
    </row>
    <row r="171" spans="1:4" s="1" customFormat="1" x14ac:dyDescent="0.25">
      <c r="B171" s="1" t="str">
        <f>T("Congo (Brazzaville)")</f>
        <v>Congo (Brazzaville)</v>
      </c>
    </row>
    <row r="172" spans="1:4" x14ac:dyDescent="0.25">
      <c r="A172" t="str">
        <f>T("   010519")</f>
        <v xml:space="preserve">   010519</v>
      </c>
      <c r="B172" t="str">
        <f>T("   AUTRES VOLAILLES VIVANTES, D'UN POIDS N'EXCEDANT PAS 185 G")</f>
        <v xml:space="preserve">   AUTRES VOLAILLES VIVANTES, D'UN POIDS N'EXCEDANT PAS 185 G</v>
      </c>
      <c r="C172">
        <v>88</v>
      </c>
      <c r="D172">
        <v>50000</v>
      </c>
    </row>
    <row r="173" spans="1:4" x14ac:dyDescent="0.25">
      <c r="A173" t="str">
        <f>T("   060499")</f>
        <v xml:space="preserve">   060499</v>
      </c>
      <c r="B173" t="str">
        <f>T("   AUTRES FEUILLAGES,FEUILLES,RAMEAUX,NON FRAIS,POUR BOUQUETS OU ORNEMENTS")</f>
        <v xml:space="preserve">   AUTRES FEUILLAGES,FEUILLES,RAMEAUX,NON FRAIS,POUR BOUQUETS OU ORNEMENTS</v>
      </c>
      <c r="C173">
        <v>30000</v>
      </c>
      <c r="D173">
        <v>1800000</v>
      </c>
    </row>
    <row r="174" spans="1:4" x14ac:dyDescent="0.25">
      <c r="A174" t="str">
        <f>T("   071239")</f>
        <v xml:space="preserve">   071239</v>
      </c>
      <c r="B174" t="str">
        <f>T("   AUTRES")</f>
        <v xml:space="preserve">   AUTRES</v>
      </c>
      <c r="C174">
        <v>8900</v>
      </c>
      <c r="D174">
        <v>1557500</v>
      </c>
    </row>
    <row r="175" spans="1:4" x14ac:dyDescent="0.25">
      <c r="A175" t="str">
        <f>T("   071339")</f>
        <v xml:space="preserve">   071339</v>
      </c>
      <c r="B175" t="str">
        <f>T("   AUTRES")</f>
        <v xml:space="preserve">   AUTRES</v>
      </c>
      <c r="C175">
        <v>23500</v>
      </c>
      <c r="D175">
        <v>4101000</v>
      </c>
    </row>
    <row r="176" spans="1:4" x14ac:dyDescent="0.25">
      <c r="A176" t="str">
        <f>T("   081290")</f>
        <v xml:space="preserve">   081290</v>
      </c>
      <c r="B176" t="str">
        <f>T("   AUTRES")</f>
        <v xml:space="preserve">   AUTRES</v>
      </c>
      <c r="C176">
        <v>2900</v>
      </c>
      <c r="D176">
        <v>1120000</v>
      </c>
    </row>
    <row r="177" spans="1:4" x14ac:dyDescent="0.25">
      <c r="A177" t="str">
        <f>T("   100590")</f>
        <v xml:space="preserve">   100590</v>
      </c>
      <c r="B177" t="str">
        <f>T("   AUTRE")</f>
        <v xml:space="preserve">   AUTRE</v>
      </c>
      <c r="C177">
        <v>200</v>
      </c>
      <c r="D177">
        <v>50000</v>
      </c>
    </row>
    <row r="178" spans="1:4" x14ac:dyDescent="0.25">
      <c r="A178" t="str">
        <f>T("   100890")</f>
        <v xml:space="preserve">   100890</v>
      </c>
      <c r="B178" t="str">
        <f>T("   Autres cereales")</f>
        <v xml:space="preserve">   Autres cereales</v>
      </c>
      <c r="C178">
        <v>3000</v>
      </c>
      <c r="D178">
        <v>975000</v>
      </c>
    </row>
    <row r="179" spans="1:4" x14ac:dyDescent="0.25">
      <c r="A179" t="str">
        <f>T("   110220")</f>
        <v xml:space="preserve">   110220</v>
      </c>
      <c r="B179" t="str">
        <f>T("   Farine de mais")</f>
        <v xml:space="preserve">   Farine de mais</v>
      </c>
      <c r="C179">
        <v>600</v>
      </c>
      <c r="D179">
        <v>90000</v>
      </c>
    </row>
    <row r="180" spans="1:4" x14ac:dyDescent="0.25">
      <c r="A180" t="str">
        <f>T("   110510")</f>
        <v xml:space="preserve">   110510</v>
      </c>
      <c r="B180" t="str">
        <f>T("   FARINE, SEMOULE ET POUDRE")</f>
        <v xml:space="preserve">   FARINE, SEMOULE ET POUDRE</v>
      </c>
      <c r="C180">
        <v>400</v>
      </c>
      <c r="D180">
        <v>80000</v>
      </c>
    </row>
    <row r="181" spans="1:4" x14ac:dyDescent="0.25">
      <c r="A181" t="str">
        <f>T("   110620")</f>
        <v xml:space="preserve">   110620</v>
      </c>
      <c r="B181" t="str">
        <f>T("   DE SAGOU OU DES RACINES OU TUBERCULES DU N° 07.14")</f>
        <v xml:space="preserve">   DE SAGOU OU DES RACINES OU TUBERCULES DU N° 07.14</v>
      </c>
      <c r="C181">
        <v>102300</v>
      </c>
      <c r="D181">
        <v>9010000</v>
      </c>
    </row>
    <row r="182" spans="1:4" x14ac:dyDescent="0.25">
      <c r="A182" t="str">
        <f>T("   110814")</f>
        <v xml:space="preserve">   110814</v>
      </c>
      <c r="B182" t="str">
        <f>T("   FECULE DE MANIOC (CASSAVE)")</f>
        <v xml:space="preserve">   FECULE DE MANIOC (CASSAVE)</v>
      </c>
      <c r="C182">
        <v>2000</v>
      </c>
      <c r="D182">
        <v>552500</v>
      </c>
    </row>
    <row r="183" spans="1:4" x14ac:dyDescent="0.25">
      <c r="A183" t="str">
        <f>T("   110819")</f>
        <v xml:space="preserve">   110819</v>
      </c>
      <c r="B183" t="str">
        <f>T("   Autres amidons et fecules")</f>
        <v xml:space="preserve">   Autres amidons et fecules</v>
      </c>
      <c r="C183">
        <v>400</v>
      </c>
      <c r="D183">
        <v>80000</v>
      </c>
    </row>
    <row r="184" spans="1:4" x14ac:dyDescent="0.25">
      <c r="A184" t="str">
        <f>T("   121230")</f>
        <v xml:space="preserve">   121230</v>
      </c>
      <c r="B184" t="str">
        <f>T("   NOYAUX,AMANDES D'ABRICOTS,PECHES,PRUNES,DESTINES A L'ALIMENTATION HUMAINE")</f>
        <v xml:space="preserve">   NOYAUX,AMANDES D'ABRICOTS,PECHES,PRUNES,DESTINES A L'ALIMENTATION HUMAINE</v>
      </c>
      <c r="C184">
        <v>2844</v>
      </c>
      <c r="D184">
        <v>333718124</v>
      </c>
    </row>
    <row r="185" spans="1:4" x14ac:dyDescent="0.25">
      <c r="A185" t="str">
        <f>T("   392390")</f>
        <v xml:space="preserve">   392390</v>
      </c>
      <c r="B185" t="str">
        <f>T("   AUTRES")</f>
        <v xml:space="preserve">   AUTRES</v>
      </c>
      <c r="C185">
        <v>145</v>
      </c>
      <c r="D185">
        <v>2550373</v>
      </c>
    </row>
    <row r="186" spans="1:4" x14ac:dyDescent="0.25">
      <c r="A186" t="str">
        <f>T("   401220")</f>
        <v xml:space="preserve">   401220</v>
      </c>
      <c r="B186" t="str">
        <f>T("   PNEUMATIQUES USAGES")</f>
        <v xml:space="preserve">   PNEUMATIQUES USAGES</v>
      </c>
      <c r="C186">
        <v>38250</v>
      </c>
      <c r="D186">
        <v>13770000</v>
      </c>
    </row>
    <row r="187" spans="1:4" x14ac:dyDescent="0.25">
      <c r="A187" t="str">
        <f>T("   440799")</f>
        <v xml:space="preserve">   440799</v>
      </c>
      <c r="B187" t="str">
        <f>T("   AUTRES")</f>
        <v xml:space="preserve">   AUTRES</v>
      </c>
      <c r="C187">
        <v>1765</v>
      </c>
      <c r="D187">
        <v>1847183</v>
      </c>
    </row>
    <row r="188" spans="1:4" x14ac:dyDescent="0.25">
      <c r="A188" t="str">
        <f>T("   621050")</f>
        <v xml:space="preserve">   621050</v>
      </c>
      <c r="B188" t="str">
        <f>T("   AUTRES VETEMENTS POUR FEMMES OU FILLETTES")</f>
        <v xml:space="preserve">   AUTRES VETEMENTS POUR FEMMES OU FILLETTES</v>
      </c>
      <c r="C188">
        <v>341.5</v>
      </c>
      <c r="D188">
        <v>2500000</v>
      </c>
    </row>
    <row r="189" spans="1:4" x14ac:dyDescent="0.25">
      <c r="A189" t="str">
        <f>T("   731029")</f>
        <v xml:space="preserve">   731029</v>
      </c>
      <c r="B189" t="str">
        <f>T("   AUTRES")</f>
        <v xml:space="preserve">   AUTRES</v>
      </c>
      <c r="C189">
        <v>814</v>
      </c>
      <c r="D189">
        <v>14294024</v>
      </c>
    </row>
    <row r="190" spans="1:4" x14ac:dyDescent="0.25">
      <c r="A190" t="str">
        <f>T("   731290")</f>
        <v xml:space="preserve">   731290</v>
      </c>
      <c r="B190" t="str">
        <f>T("   AUTRES")</f>
        <v xml:space="preserve">   AUTRES</v>
      </c>
      <c r="C190">
        <v>58</v>
      </c>
      <c r="D190">
        <v>1021986</v>
      </c>
    </row>
    <row r="191" spans="1:4" x14ac:dyDescent="0.25">
      <c r="A191" t="str">
        <f>T("   732690")</f>
        <v xml:space="preserve">   732690</v>
      </c>
      <c r="B191" t="str">
        <f>T("   AUTRES")</f>
        <v xml:space="preserve">   AUTRES</v>
      </c>
      <c r="C191">
        <v>135</v>
      </c>
      <c r="D191">
        <v>2362768</v>
      </c>
    </row>
    <row r="192" spans="1:4" x14ac:dyDescent="0.25">
      <c r="A192" t="str">
        <f>T("   820559")</f>
        <v xml:space="preserve">   820559</v>
      </c>
      <c r="B192" t="str">
        <f>T("   AUTRES")</f>
        <v xml:space="preserve">   AUTRES</v>
      </c>
      <c r="C192">
        <v>66</v>
      </c>
      <c r="D192">
        <v>1157769</v>
      </c>
    </row>
    <row r="193" spans="1:4" x14ac:dyDescent="0.25">
      <c r="A193" t="str">
        <f>T("   840790")</f>
        <v xml:space="preserve">   840790</v>
      </c>
      <c r="B193" t="str">
        <f>T("   AUTRES MOTEURS")</f>
        <v xml:space="preserve">   AUTRES MOTEURS</v>
      </c>
      <c r="C193">
        <v>200</v>
      </c>
      <c r="D193">
        <v>200000</v>
      </c>
    </row>
    <row r="194" spans="1:4" x14ac:dyDescent="0.25">
      <c r="A194" t="str">
        <f>T("   842123")</f>
        <v xml:space="preserve">   842123</v>
      </c>
      <c r="B194" t="str">
        <f>T("   POUR LA FILTRATION DES HUILES MINERALES DANS LES MOTEURS A ALLUMAGE PAR ETINCELLES O")</f>
        <v xml:space="preserve">   POUR LA FILTRATION DES HUILES MINERALES DANS LES MOTEURS A ALLUMAGE PAR ETINCELLES O</v>
      </c>
      <c r="C194">
        <v>142</v>
      </c>
      <c r="D194">
        <v>2501832</v>
      </c>
    </row>
    <row r="195" spans="1:4" x14ac:dyDescent="0.25">
      <c r="A195" t="str">
        <f>T("   842940")</f>
        <v xml:space="preserve">   842940</v>
      </c>
      <c r="B195" t="str">
        <f>T("   COMPACTEUSES ET ROULEAUX COMPRESSEURS")</f>
        <v xml:space="preserve">   COMPACTEUSES ET ROULEAUX COMPRESSEURS</v>
      </c>
      <c r="C195">
        <v>21000</v>
      </c>
      <c r="D195">
        <v>17038631</v>
      </c>
    </row>
    <row r="196" spans="1:4" x14ac:dyDescent="0.25">
      <c r="A196" t="str">
        <f>T("   843143")</f>
        <v xml:space="preserve">   843143</v>
      </c>
      <c r="B196" t="str">
        <f>T("   PARTIES DE MACHINES DE SONDAGE OU DE FORAGE DES N°S 8430.41 OU 8430.49")</f>
        <v xml:space="preserve">   PARTIES DE MACHINES DE SONDAGE OU DE FORAGE DES N°S 8430.41 OU 8430.49</v>
      </c>
      <c r="C196">
        <v>3450</v>
      </c>
      <c r="D196">
        <v>9334311</v>
      </c>
    </row>
    <row r="197" spans="1:4" x14ac:dyDescent="0.25">
      <c r="A197" t="str">
        <f>T("   844339")</f>
        <v xml:space="preserve">   844339</v>
      </c>
      <c r="B197" t="str">
        <f>T("   AUTRES")</f>
        <v xml:space="preserve">   AUTRES</v>
      </c>
      <c r="C197">
        <v>7000</v>
      </c>
      <c r="D197">
        <v>8000000</v>
      </c>
    </row>
    <row r="198" spans="1:4" x14ac:dyDescent="0.25">
      <c r="A198" t="str">
        <f>T("   847180")</f>
        <v xml:space="preserve">   847180</v>
      </c>
      <c r="B198" t="str">
        <f>T("   AUTRES UNITES DE MACHINES AUTOMATIQUES DE TRAITEMENT DE L'INFORMATION")</f>
        <v xml:space="preserve">   AUTRES UNITES DE MACHINES AUTOMATIQUES DE TRAITEMENT DE L'INFORMATION</v>
      </c>
      <c r="C198">
        <v>160</v>
      </c>
      <c r="D198">
        <v>1903954</v>
      </c>
    </row>
    <row r="199" spans="1:4" x14ac:dyDescent="0.25">
      <c r="A199" t="str">
        <f>T("   848490")</f>
        <v xml:space="preserve">   848490</v>
      </c>
      <c r="B199" t="str">
        <f>T("   AUTRES")</f>
        <v xml:space="preserve">   AUTRES</v>
      </c>
      <c r="C199">
        <v>97</v>
      </c>
      <c r="D199">
        <v>1698936</v>
      </c>
    </row>
    <row r="200" spans="1:4" x14ac:dyDescent="0.25">
      <c r="A200" t="str">
        <f>T("   850140")</f>
        <v xml:space="preserve">   850140</v>
      </c>
      <c r="B200" t="str">
        <f>T("   AUTRES MOTEURS A COURANT ALTERNATIF, MONOPHASES")</f>
        <v xml:space="preserve">   AUTRES MOTEURS A COURANT ALTERNATIF, MONOPHASES</v>
      </c>
      <c r="C200">
        <v>1647</v>
      </c>
      <c r="D200">
        <v>28912092</v>
      </c>
    </row>
    <row r="201" spans="1:4" x14ac:dyDescent="0.25">
      <c r="A201" t="str">
        <f>T("   850980")</f>
        <v xml:space="preserve">   850980</v>
      </c>
      <c r="B201" t="str">
        <f>T("   AUTRES APPAREILS")</f>
        <v xml:space="preserve">   AUTRES APPAREILS</v>
      </c>
      <c r="C201">
        <v>15000</v>
      </c>
      <c r="D201">
        <v>5550000</v>
      </c>
    </row>
    <row r="202" spans="1:4" x14ac:dyDescent="0.25">
      <c r="A202" t="str">
        <f>T("   870120")</f>
        <v xml:space="preserve">   870120</v>
      </c>
      <c r="B202" t="str">
        <f>T("   TRACTEURS ROUTIERS POUR SEMIREMORQUES")</f>
        <v xml:space="preserve">   TRACTEURS ROUTIERS POUR SEMIREMORQUES</v>
      </c>
      <c r="C202">
        <v>2000</v>
      </c>
      <c r="D202">
        <v>5000000</v>
      </c>
    </row>
    <row r="203" spans="1:4" x14ac:dyDescent="0.25">
      <c r="A203" t="str">
        <f>T("   870323")</f>
        <v xml:space="preserve">   870323</v>
      </c>
      <c r="B203" t="str">
        <f>T("   D’UNE CYLINDREE EXCEDANT 1.500 CM³ MAIS N’EXCEDANT PAS 3.000 CM³")</f>
        <v xml:space="preserve">   D’UNE CYLINDREE EXCEDANT 1.500 CM³ MAIS N’EXCEDANT PAS 3.000 CM³</v>
      </c>
      <c r="C203">
        <v>13250</v>
      </c>
      <c r="D203">
        <v>5900000</v>
      </c>
    </row>
    <row r="204" spans="1:4" x14ac:dyDescent="0.25">
      <c r="A204" t="str">
        <f>T("   870899")</f>
        <v xml:space="preserve">   870899</v>
      </c>
      <c r="B204" t="str">
        <f>T("   AUTRES")</f>
        <v xml:space="preserve">   AUTRES</v>
      </c>
      <c r="C204">
        <v>2210</v>
      </c>
      <c r="D204">
        <v>1700000</v>
      </c>
    </row>
    <row r="205" spans="1:4" x14ac:dyDescent="0.25">
      <c r="A205" t="str">
        <f>T("   871640")</f>
        <v xml:space="preserve">   871640</v>
      </c>
      <c r="B205" t="str">
        <f>T("   AUTRES REMORQUES ET SEMIREMORQUES")</f>
        <v xml:space="preserve">   AUTRES REMORQUES ET SEMIREMORQUES</v>
      </c>
      <c r="C205">
        <v>2000</v>
      </c>
      <c r="D205">
        <v>5000000</v>
      </c>
    </row>
    <row r="206" spans="1:4" x14ac:dyDescent="0.25">
      <c r="A206" t="str">
        <f>T("   940180")</f>
        <v xml:space="preserve">   940180</v>
      </c>
      <c r="B206" t="str">
        <f>T("   AUTRES SIEGES")</f>
        <v xml:space="preserve">   AUTRES SIEGES</v>
      </c>
      <c r="C206">
        <v>200</v>
      </c>
      <c r="D206">
        <v>655000</v>
      </c>
    </row>
    <row r="207" spans="1:4" x14ac:dyDescent="0.25">
      <c r="A207" t="str">
        <f>T("   940350")</f>
        <v xml:space="preserve">   940350</v>
      </c>
      <c r="B207" t="str">
        <f>T("   MEUBLES EN BOIS DES TYPES UTILISES DANS LES CHAMBRES A COUCHER")</f>
        <v xml:space="preserve">   MEUBLES EN BOIS DES TYPES UTILISES DANS LES CHAMBRES A COUCHER</v>
      </c>
      <c r="C207">
        <v>12000</v>
      </c>
      <c r="D207">
        <v>2800000</v>
      </c>
    </row>
    <row r="208" spans="1:4" x14ac:dyDescent="0.25">
      <c r="A208" t="str">
        <f>T("   940360")</f>
        <v xml:space="preserve">   940360</v>
      </c>
      <c r="B208" t="str">
        <f>T("   Autres meubles en bois")</f>
        <v xml:space="preserve">   Autres meubles en bois</v>
      </c>
      <c r="C208">
        <v>2000</v>
      </c>
      <c r="D208">
        <v>2000000</v>
      </c>
    </row>
    <row r="209" spans="1:4" x14ac:dyDescent="0.25">
      <c r="A209" t="str">
        <f>T("   940389")</f>
        <v xml:space="preserve">   940389</v>
      </c>
      <c r="B209" t="str">
        <f>T("   AUTRES")</f>
        <v xml:space="preserve">   AUTRES</v>
      </c>
      <c r="C209">
        <v>17230</v>
      </c>
      <c r="D209">
        <v>1000000</v>
      </c>
    </row>
    <row r="210" spans="1:4" x14ac:dyDescent="0.25">
      <c r="A210" t="str">
        <f>T("   940540")</f>
        <v xml:space="preserve">   940540</v>
      </c>
      <c r="B210" t="str">
        <f>T("   AUTRES APPAREILS D'ECLAIRAGE ELECTRIQUES")</f>
        <v xml:space="preserve">   AUTRES APPAREILS D'ECLAIRAGE ELECTRIQUES</v>
      </c>
      <c r="C210">
        <v>57</v>
      </c>
      <c r="D210">
        <v>1005587</v>
      </c>
    </row>
    <row r="211" spans="1:4" s="1" customFormat="1" x14ac:dyDescent="0.25">
      <c r="A211" s="1" t="str">
        <f>T("   ZZ_Total_Produit_SH6")</f>
        <v xml:space="preserve">   ZZ_Total_Produit_SH6</v>
      </c>
      <c r="B211" s="1" t="str">
        <f>T("   ZZ_Total_Produit_SH6")</f>
        <v xml:space="preserve">   ZZ_Total_Produit_SH6</v>
      </c>
      <c r="C211" s="1">
        <v>318349.5</v>
      </c>
      <c r="D211" s="1">
        <v>492888570</v>
      </c>
    </row>
    <row r="212" spans="1:4" s="1" customFormat="1" x14ac:dyDescent="0.25">
      <c r="B212" s="1" t="str">
        <f>T("Suisse")</f>
        <v>Suisse</v>
      </c>
    </row>
    <row r="213" spans="1:4" x14ac:dyDescent="0.25">
      <c r="A213" t="str">
        <f>T("   271019")</f>
        <v xml:space="preserve">   271019</v>
      </c>
      <c r="B213" t="str">
        <f>T("   AUTRES")</f>
        <v xml:space="preserve">   AUTRES</v>
      </c>
      <c r="C213">
        <v>21526</v>
      </c>
      <c r="D213">
        <v>115846458</v>
      </c>
    </row>
    <row r="214" spans="1:4" x14ac:dyDescent="0.25">
      <c r="A214" t="str">
        <f>T("   520100")</f>
        <v xml:space="preserve">   520100</v>
      </c>
      <c r="B214" t="str">
        <f>T("   COTON, NON CARDE NI PEIGNE.")</f>
        <v xml:space="preserve">   COTON, NON CARDE NI PEIGNE.</v>
      </c>
      <c r="C214">
        <v>1387006</v>
      </c>
      <c r="D214">
        <v>1348035478</v>
      </c>
    </row>
    <row r="215" spans="1:4" x14ac:dyDescent="0.25">
      <c r="A215" t="str">
        <f>T("   720430")</f>
        <v xml:space="preserve">   720430</v>
      </c>
      <c r="B215" t="str">
        <f>T("   Dechets et debris de fer ou d'acier etames")</f>
        <v xml:space="preserve">   Dechets et debris de fer ou d'acier etames</v>
      </c>
      <c r="C215">
        <v>170000</v>
      </c>
      <c r="D215">
        <v>8500000</v>
      </c>
    </row>
    <row r="216" spans="1:4" x14ac:dyDescent="0.25">
      <c r="A216" t="str">
        <f>T("   841490")</f>
        <v xml:space="preserve">   841490</v>
      </c>
      <c r="B216" t="str">
        <f>T("   PARTIES")</f>
        <v xml:space="preserve">   PARTIES</v>
      </c>
      <c r="C216">
        <v>68</v>
      </c>
      <c r="D216">
        <v>14735789</v>
      </c>
    </row>
    <row r="217" spans="1:4" x14ac:dyDescent="0.25">
      <c r="A217" t="str">
        <f>T("   970300")</f>
        <v xml:space="preserve">   970300</v>
      </c>
      <c r="B217" t="str">
        <f>T("   PRODUCTIONS ORIGINALES DE L'ART STATUAIRE OU DE LA SCULPTURE, EN TOUTES MATIERES.")</f>
        <v xml:space="preserve">   PRODUCTIONS ORIGINALES DE L'ART STATUAIRE OU DE LA SCULPTURE, EN TOUTES MATIERES.</v>
      </c>
      <c r="C217">
        <v>210</v>
      </c>
      <c r="D217">
        <v>2511760</v>
      </c>
    </row>
    <row r="218" spans="1:4" s="1" customFormat="1" x14ac:dyDescent="0.25">
      <c r="A218" s="1" t="str">
        <f>T("   ZZ_Total_Produit_SH6")</f>
        <v xml:space="preserve">   ZZ_Total_Produit_SH6</v>
      </c>
      <c r="B218" s="1" t="str">
        <f>T("   ZZ_Total_Produit_SH6")</f>
        <v xml:space="preserve">   ZZ_Total_Produit_SH6</v>
      </c>
      <c r="C218" s="1">
        <v>1578810</v>
      </c>
      <c r="D218" s="1">
        <v>1489629485</v>
      </c>
    </row>
    <row r="219" spans="1:4" s="1" customFormat="1" x14ac:dyDescent="0.25">
      <c r="B219" s="1" t="str">
        <f>T("Côte d'Ivoire")</f>
        <v>Côte d'Ivoire</v>
      </c>
    </row>
    <row r="220" spans="1:4" x14ac:dyDescent="0.25">
      <c r="A220" t="str">
        <f>T("   120720")</f>
        <v xml:space="preserve">   120720</v>
      </c>
      <c r="B220" t="str">
        <f>T("   GRAINES DE COTON,MEME CONCASSEES")</f>
        <v xml:space="preserve">   GRAINES DE COTON,MEME CONCASSEES</v>
      </c>
      <c r="C220">
        <v>400000</v>
      </c>
      <c r="D220">
        <v>120000000</v>
      </c>
    </row>
    <row r="221" spans="1:4" x14ac:dyDescent="0.25">
      <c r="A221" t="str">
        <f>T("   121230")</f>
        <v xml:space="preserve">   121230</v>
      </c>
      <c r="B221" t="str">
        <f>T("   NOYAUX,AMANDES D'ABRICOTS,PECHES,PRUNES,DESTINES A L'ALIMENTATION HUMAINE")</f>
        <v xml:space="preserve">   NOYAUX,AMANDES D'ABRICOTS,PECHES,PRUNES,DESTINES A L'ALIMENTATION HUMAINE</v>
      </c>
      <c r="C221">
        <v>180</v>
      </c>
      <c r="D221">
        <v>21646581</v>
      </c>
    </row>
    <row r="222" spans="1:4" x14ac:dyDescent="0.25">
      <c r="A222" t="str">
        <f>T("   200941")</f>
        <v xml:space="preserve">   200941</v>
      </c>
      <c r="B222" t="str">
        <f>T("   D’UNE VALEUR BRIX N’EXCEDANT PAS 20")</f>
        <v xml:space="preserve">   D’UNE VALEUR BRIX N’EXCEDANT PAS 20</v>
      </c>
      <c r="C222">
        <v>50120</v>
      </c>
      <c r="D222">
        <v>17760000</v>
      </c>
    </row>
    <row r="223" spans="1:4" x14ac:dyDescent="0.25">
      <c r="A223" t="str">
        <f>T("   210690")</f>
        <v xml:space="preserve">   210690</v>
      </c>
      <c r="B223" t="str">
        <f>T("   AUTRES")</f>
        <v xml:space="preserve">   AUTRES</v>
      </c>
      <c r="C223">
        <v>100</v>
      </c>
      <c r="D223">
        <v>524265</v>
      </c>
    </row>
    <row r="224" spans="1:4" x14ac:dyDescent="0.25">
      <c r="A224" t="str">
        <f>T("   220110")</f>
        <v xml:space="preserve">   220110</v>
      </c>
      <c r="B224" t="str">
        <f>T("   EAUX MINERALES ET EAUX GAZEIFIEES")</f>
        <v xml:space="preserve">   EAUX MINERALES ET EAUX GAZEIFIEES</v>
      </c>
      <c r="C224">
        <v>26400</v>
      </c>
      <c r="D224">
        <v>5988182</v>
      </c>
    </row>
    <row r="225" spans="1:4" x14ac:dyDescent="0.25">
      <c r="A225" t="str">
        <f>T("   230400")</f>
        <v xml:space="preserve">   230400</v>
      </c>
      <c r="B225" t="str">
        <f>T("   TOURTEAUX ET AUTRES RESIDUS SOLIDES, MEME BROYES OU AGGLOMERES SOUS FORME DE PELLETS, D")</f>
        <v xml:space="preserve">   TOURTEAUX ET AUTRES RESIDUS SOLIDES, MEME BROYES OU AGGLOMERES SOUS FORME DE PELLETS, D</v>
      </c>
      <c r="C225">
        <v>3331980</v>
      </c>
      <c r="D225">
        <v>1060669100</v>
      </c>
    </row>
    <row r="226" spans="1:4" x14ac:dyDescent="0.25">
      <c r="A226" t="str">
        <f>T("   230610")</f>
        <v xml:space="preserve">   230610</v>
      </c>
      <c r="B226" t="str">
        <f>T("   DE GRAINES DE COTON")</f>
        <v xml:space="preserve">   DE GRAINES DE COTON</v>
      </c>
      <c r="C226">
        <v>764864</v>
      </c>
      <c r="D226">
        <v>103570380</v>
      </c>
    </row>
    <row r="227" spans="1:4" x14ac:dyDescent="0.25">
      <c r="A227" t="str">
        <f>T("   252520")</f>
        <v xml:space="preserve">   252520</v>
      </c>
      <c r="B227" t="str">
        <f>T("   Mica en poudre")</f>
        <v xml:space="preserve">   Mica en poudre</v>
      </c>
      <c r="C227">
        <v>27245</v>
      </c>
      <c r="D227">
        <v>49744291</v>
      </c>
    </row>
    <row r="228" spans="1:4" x14ac:dyDescent="0.25">
      <c r="A228" t="str">
        <f>T("   283322")</f>
        <v xml:space="preserve">   283322</v>
      </c>
      <c r="B228" t="str">
        <f>T("   D'ALUMINIUM")</f>
        <v xml:space="preserve">   D'ALUMINIUM</v>
      </c>
      <c r="C228">
        <v>2870</v>
      </c>
      <c r="D228">
        <v>6129598</v>
      </c>
    </row>
    <row r="229" spans="1:4" x14ac:dyDescent="0.25">
      <c r="A229" t="str">
        <f>T("   300490")</f>
        <v xml:space="preserve">   300490</v>
      </c>
      <c r="B229" t="str">
        <f>T("   AUTRES")</f>
        <v xml:space="preserve">   AUTRES</v>
      </c>
      <c r="C229">
        <v>86</v>
      </c>
      <c r="D229">
        <v>87796</v>
      </c>
    </row>
    <row r="230" spans="1:4" x14ac:dyDescent="0.25">
      <c r="A230" t="str">
        <f>T("   330499")</f>
        <v xml:space="preserve">   330499</v>
      </c>
      <c r="B230" t="str">
        <f>T("   AUTRES")</f>
        <v xml:space="preserve">   AUTRES</v>
      </c>
      <c r="C230">
        <v>1100</v>
      </c>
      <c r="D230">
        <v>1000000</v>
      </c>
    </row>
    <row r="231" spans="1:4" x14ac:dyDescent="0.25">
      <c r="A231" t="str">
        <f>T("   350510")</f>
        <v xml:space="preserve">   350510</v>
      </c>
      <c r="B231" t="str">
        <f>T("   Dextrine et autres amidons et fecules modifies")</f>
        <v xml:space="preserve">   Dextrine et autres amidons et fecules modifies</v>
      </c>
      <c r="C231">
        <v>103670.77</v>
      </c>
      <c r="D231">
        <v>88243409</v>
      </c>
    </row>
    <row r="232" spans="1:4" x14ac:dyDescent="0.25">
      <c r="A232" t="str">
        <f>T("   370390")</f>
        <v xml:space="preserve">   370390</v>
      </c>
      <c r="B232" t="str">
        <f>T("   AUTRES")</f>
        <v xml:space="preserve">   AUTRES</v>
      </c>
      <c r="C232">
        <v>8470</v>
      </c>
      <c r="D232">
        <v>2912500</v>
      </c>
    </row>
    <row r="233" spans="1:4" x14ac:dyDescent="0.25">
      <c r="A233" t="str">
        <f>T("   401699")</f>
        <v xml:space="preserve">   401699</v>
      </c>
      <c r="B233" t="str">
        <f>T("   AUTRES")</f>
        <v xml:space="preserve">   AUTRES</v>
      </c>
      <c r="C233">
        <v>3000</v>
      </c>
      <c r="D233">
        <v>50000</v>
      </c>
    </row>
    <row r="234" spans="1:4" x14ac:dyDescent="0.25">
      <c r="A234" t="str">
        <f>T("   441890")</f>
        <v xml:space="preserve">   441890</v>
      </c>
      <c r="B234" t="str">
        <f>T("   AUTRES")</f>
        <v xml:space="preserve">   AUTRES</v>
      </c>
      <c r="C234">
        <v>16300</v>
      </c>
      <c r="D234">
        <v>2720000</v>
      </c>
    </row>
    <row r="235" spans="1:4" x14ac:dyDescent="0.25">
      <c r="A235" t="str">
        <f>T("   442190")</f>
        <v xml:space="preserve">   442190</v>
      </c>
      <c r="B235" t="str">
        <f>T("   AUTRES")</f>
        <v xml:space="preserve">   AUTRES</v>
      </c>
      <c r="C235">
        <v>3708</v>
      </c>
      <c r="D235">
        <v>100000</v>
      </c>
    </row>
    <row r="236" spans="1:4" x14ac:dyDescent="0.25">
      <c r="A236" t="str">
        <f>T("   470790")</f>
        <v xml:space="preserve">   470790</v>
      </c>
      <c r="B236" t="str">
        <f>T("   AUTRES, Y COMPRIS LES DECHETS ET REBUTS NON TRIES")</f>
        <v xml:space="preserve">   AUTRES, Y COMPRIS LES DECHETS ET REBUTS NON TRIES</v>
      </c>
      <c r="C236">
        <v>50000</v>
      </c>
      <c r="D236">
        <v>1450000</v>
      </c>
    </row>
    <row r="237" spans="1:4" x14ac:dyDescent="0.25">
      <c r="A237" t="str">
        <f>T("   481910")</f>
        <v xml:space="preserve">   481910</v>
      </c>
      <c r="B237" t="str">
        <f>T("   BOITES ET CAISSES EN PAPIER OU CARTON ONDULE")</f>
        <v xml:space="preserve">   BOITES ET CAISSES EN PAPIER OU CARTON ONDULE</v>
      </c>
      <c r="C237">
        <v>3048</v>
      </c>
      <c r="D237">
        <v>1283700</v>
      </c>
    </row>
    <row r="238" spans="1:4" x14ac:dyDescent="0.25">
      <c r="A238" t="str">
        <f>T("   490700")</f>
        <v xml:space="preserve">   490700</v>
      </c>
      <c r="B238" t="str">
        <f>T("   TIMBRESPOSTE, TIMBRES FISCAUX ET ANALOGUES, NON OBLITERES, AYANT COURS OU DESTINES A A")</f>
        <v xml:space="preserve">   TIMBRESPOSTE, TIMBRES FISCAUX ET ANALOGUES, NON OBLITERES, AYANT COURS OU DESTINES A A</v>
      </c>
      <c r="C238">
        <v>9869</v>
      </c>
      <c r="D238">
        <v>20800000</v>
      </c>
    </row>
    <row r="239" spans="1:4" x14ac:dyDescent="0.25">
      <c r="A239" t="str">
        <f>T("   491110")</f>
        <v xml:space="preserve">   491110</v>
      </c>
      <c r="B239" t="str">
        <f>T("   IMPRIMES PUBLICITAIRES, CATALOGUES COMMERCIAUX ET SIMILAIRES")</f>
        <v xml:space="preserve">   IMPRIMES PUBLICITAIRES, CATALOGUES COMMERCIAUX ET SIMILAIRES</v>
      </c>
      <c r="C239">
        <v>1965</v>
      </c>
      <c r="D239">
        <v>1327924</v>
      </c>
    </row>
    <row r="240" spans="1:4" x14ac:dyDescent="0.25">
      <c r="A240" t="str">
        <f>T("   520812")</f>
        <v xml:space="preserve">   520812</v>
      </c>
      <c r="B240" t="str">
        <f>T("   A ARMURE TOILE, D'UN POIDS EXCEDANT 100 G/M²")</f>
        <v xml:space="preserve">   A ARMURE TOILE, D'UN POIDS EXCEDANT 100 G/M²</v>
      </c>
      <c r="C240">
        <v>1498836</v>
      </c>
      <c r="D240">
        <v>4085333280</v>
      </c>
    </row>
    <row r="241" spans="1:4" x14ac:dyDescent="0.25">
      <c r="A241" t="str">
        <f>T("   620349")</f>
        <v xml:space="preserve">   620349</v>
      </c>
      <c r="B241" t="str">
        <f>T("   D'AUTRES MATIERES TEXTILES")</f>
        <v xml:space="preserve">   D'AUTRES MATIERES TEXTILES</v>
      </c>
      <c r="C241">
        <v>237</v>
      </c>
      <c r="D241">
        <v>500000</v>
      </c>
    </row>
    <row r="242" spans="1:4" x14ac:dyDescent="0.25">
      <c r="A242" t="str">
        <f>T("   620590")</f>
        <v xml:space="preserve">   620590</v>
      </c>
      <c r="B242" t="str">
        <f>T("   D'AUTRES MATIERES TEXTILES")</f>
        <v xml:space="preserve">   D'AUTRES MATIERES TEXTILES</v>
      </c>
      <c r="C242">
        <v>500</v>
      </c>
      <c r="D242">
        <v>500000</v>
      </c>
    </row>
    <row r="243" spans="1:4" x14ac:dyDescent="0.25">
      <c r="A243" t="str">
        <f>T("   720927")</f>
        <v xml:space="preserve">   720927</v>
      </c>
      <c r="B243" t="str">
        <f>T("   D'UNE EPAISSEUR DE 0,5 MM OU PLUS MAIS N'EXCEDANT PAS 1 MM")</f>
        <v xml:space="preserve">   D'UNE EPAISSEUR DE 0,5 MM OU PLUS MAIS N'EXCEDANT PAS 1 MM</v>
      </c>
      <c r="C243">
        <v>320</v>
      </c>
      <c r="D243">
        <v>200000</v>
      </c>
    </row>
    <row r="244" spans="1:4" x14ac:dyDescent="0.25">
      <c r="A244" t="str">
        <f>T("   731021")</f>
        <v xml:space="preserve">   731021</v>
      </c>
      <c r="B244" t="str">
        <f>T("   BOITES A FERMER PAR SOUDAGE OU SERTISSAGE")</f>
        <v xml:space="preserve">   BOITES A FERMER PAR SOUDAGE OU SERTISSAGE</v>
      </c>
      <c r="C244">
        <v>17012</v>
      </c>
      <c r="D244">
        <v>6190048</v>
      </c>
    </row>
    <row r="245" spans="1:4" x14ac:dyDescent="0.25">
      <c r="A245" t="str">
        <f>T("   731210")</f>
        <v xml:space="preserve">   731210</v>
      </c>
      <c r="B245" t="str">
        <f>T("   TORONS ET CABLES")</f>
        <v xml:space="preserve">   TORONS ET CABLES</v>
      </c>
      <c r="C245">
        <v>318</v>
      </c>
      <c r="D245">
        <v>95000</v>
      </c>
    </row>
    <row r="246" spans="1:4" x14ac:dyDescent="0.25">
      <c r="A246" t="str">
        <f>T("   732290")</f>
        <v xml:space="preserve">   732290</v>
      </c>
      <c r="B246" t="str">
        <f>T("   AUTRES")</f>
        <v xml:space="preserve">   AUTRES</v>
      </c>
      <c r="C246">
        <v>20000</v>
      </c>
      <c r="D246">
        <v>1730000</v>
      </c>
    </row>
    <row r="247" spans="1:4" x14ac:dyDescent="0.25">
      <c r="A247" t="str">
        <f>T("   732394")</f>
        <v xml:space="preserve">   732394</v>
      </c>
      <c r="B247" t="str">
        <f>T("   EN FER OU EN ACIER, EMAILLES")</f>
        <v xml:space="preserve">   EN FER OU EN ACIER, EMAILLES</v>
      </c>
      <c r="C247">
        <v>101</v>
      </c>
      <c r="D247">
        <v>300000</v>
      </c>
    </row>
    <row r="248" spans="1:4" x14ac:dyDescent="0.25">
      <c r="A248" t="str">
        <f>T("   732690")</f>
        <v xml:space="preserve">   732690</v>
      </c>
      <c r="B248" t="str">
        <f>T("   AUTRES")</f>
        <v xml:space="preserve">   AUTRES</v>
      </c>
      <c r="C248">
        <v>18292</v>
      </c>
      <c r="D248">
        <v>1840000</v>
      </c>
    </row>
    <row r="249" spans="1:4" x14ac:dyDescent="0.25">
      <c r="A249" t="str">
        <f>T("   820580")</f>
        <v xml:space="preserve">   820580</v>
      </c>
      <c r="B249" t="str">
        <f>T("   ENCLUMES, FORGES PORTATIVES, MEULES AVEC BATIS, A MAIN OU A PEDALE")</f>
        <v xml:space="preserve">   ENCLUMES, FORGES PORTATIVES, MEULES AVEC BATIS, A MAIN OU A PEDALE</v>
      </c>
      <c r="C249">
        <v>7741</v>
      </c>
      <c r="D249">
        <v>37068357</v>
      </c>
    </row>
    <row r="250" spans="1:4" x14ac:dyDescent="0.25">
      <c r="A250" t="str">
        <f>T("   830400")</f>
        <v xml:space="preserve">   830400</v>
      </c>
      <c r="B250" t="str">
        <f>T("   CLASSEURS, FICHIERS, BOITES DE CLASSEMENT, PORTECOPIES, PLUMIERS, PORTECACHETS ET MAT")</f>
        <v xml:space="preserve">   CLASSEURS, FICHIERS, BOITES DE CLASSEMENT, PORTECOPIES, PLUMIERS, PORTECACHETS ET MAT</v>
      </c>
      <c r="C250">
        <v>1560</v>
      </c>
      <c r="D250">
        <v>7472025</v>
      </c>
    </row>
    <row r="251" spans="1:4" x14ac:dyDescent="0.25">
      <c r="A251" t="str">
        <f>T("   841210")</f>
        <v xml:space="preserve">   841210</v>
      </c>
      <c r="B251" t="str">
        <f>T("   Propulseurs a reaction autres que les turboreacteurs")</f>
        <v xml:space="preserve">   Propulseurs a reaction autres que les turboreacteurs</v>
      </c>
      <c r="C251">
        <v>3682</v>
      </c>
      <c r="D251">
        <v>17629790</v>
      </c>
    </row>
    <row r="252" spans="1:4" x14ac:dyDescent="0.25">
      <c r="A252" t="str">
        <f>T("   841229")</f>
        <v xml:space="preserve">   841229</v>
      </c>
      <c r="B252" t="str">
        <f>T("   AUTRES")</f>
        <v xml:space="preserve">   AUTRES</v>
      </c>
      <c r="C252">
        <v>500</v>
      </c>
      <c r="D252">
        <v>400000</v>
      </c>
    </row>
    <row r="253" spans="1:4" x14ac:dyDescent="0.25">
      <c r="A253" t="str">
        <f>T("   841490")</f>
        <v xml:space="preserve">   841490</v>
      </c>
      <c r="B253" t="str">
        <f>T("   PARTIES")</f>
        <v xml:space="preserve">   PARTIES</v>
      </c>
      <c r="C253">
        <v>160</v>
      </c>
      <c r="D253">
        <v>767631</v>
      </c>
    </row>
    <row r="254" spans="1:4" x14ac:dyDescent="0.25">
      <c r="A254" t="str">
        <f>T("   842542")</f>
        <v xml:space="preserve">   842542</v>
      </c>
      <c r="B254" t="str">
        <f>T("   AUTRES CRICS ET VERINS, HYDRAULIQUES")</f>
        <v xml:space="preserve">   AUTRES CRICS ET VERINS, HYDRAULIQUES</v>
      </c>
      <c r="C254">
        <v>430</v>
      </c>
      <c r="D254">
        <v>1200000</v>
      </c>
    </row>
    <row r="255" spans="1:4" x14ac:dyDescent="0.25">
      <c r="A255" t="str">
        <f>T("   842611")</f>
        <v xml:space="preserve">   842611</v>
      </c>
      <c r="B255" t="str">
        <f>T("   PONTS ROULANTS ET POUTRES ROULANTES, SUR SUPPORTS FIXES")</f>
        <v xml:space="preserve">   PONTS ROULANTS ET POUTRES ROULANTES, SUR SUPPORTS FIXES</v>
      </c>
      <c r="C255">
        <v>8210</v>
      </c>
      <c r="D255">
        <v>43297225</v>
      </c>
    </row>
    <row r="256" spans="1:4" x14ac:dyDescent="0.25">
      <c r="A256" t="str">
        <f>T("   842720")</f>
        <v xml:space="preserve">   842720</v>
      </c>
      <c r="B256" t="str">
        <f>T("   AUTRES CHARIOTS AUTOPROPULSES")</f>
        <v xml:space="preserve">   AUTRES CHARIOTS AUTOPROPULSES</v>
      </c>
      <c r="C256">
        <v>7854</v>
      </c>
      <c r="D256">
        <v>9000000</v>
      </c>
    </row>
    <row r="257" spans="1:4" x14ac:dyDescent="0.25">
      <c r="A257" t="str">
        <f>T("   842911")</f>
        <v xml:space="preserve">   842911</v>
      </c>
      <c r="B257" t="str">
        <f>T("   A CHENILLES")</f>
        <v xml:space="preserve">   A CHENILLES</v>
      </c>
      <c r="C257">
        <v>37873</v>
      </c>
      <c r="D257">
        <v>9949400</v>
      </c>
    </row>
    <row r="258" spans="1:4" x14ac:dyDescent="0.25">
      <c r="A258" t="str">
        <f>T("   842920")</f>
        <v xml:space="preserve">   842920</v>
      </c>
      <c r="B258" t="str">
        <f>T("   NIVELEUSES")</f>
        <v xml:space="preserve">   NIVELEUSES</v>
      </c>
      <c r="C258">
        <v>32120</v>
      </c>
      <c r="D258">
        <v>40723200</v>
      </c>
    </row>
    <row r="259" spans="1:4" x14ac:dyDescent="0.25">
      <c r="A259" t="str">
        <f>T("   842940")</f>
        <v xml:space="preserve">   842940</v>
      </c>
      <c r="B259" t="str">
        <f>T("   COMPACTEUSES ET ROULEAUX COMPRESSEURS")</f>
        <v xml:space="preserve">   COMPACTEUSES ET ROULEAUX COMPRESSEURS</v>
      </c>
      <c r="C259">
        <v>89861</v>
      </c>
      <c r="D259">
        <v>74126481</v>
      </c>
    </row>
    <row r="260" spans="1:4" x14ac:dyDescent="0.25">
      <c r="A260" t="str">
        <f>T("   842951")</f>
        <v xml:space="preserve">   842951</v>
      </c>
      <c r="B260" t="str">
        <f>T("   CHARGEUSES ET CHARGEUSESPELLETEUSES A CHARGEMENT FRONTAL")</f>
        <v xml:space="preserve">   CHARGEUSES ET CHARGEUSESPELLETEUSES A CHARGEMENT FRONTAL</v>
      </c>
      <c r="C260">
        <v>30000</v>
      </c>
      <c r="D260">
        <v>35116800</v>
      </c>
    </row>
    <row r="261" spans="1:4" x14ac:dyDescent="0.25">
      <c r="A261" t="str">
        <f>T("   843049")</f>
        <v xml:space="preserve">   843049</v>
      </c>
      <c r="B261" t="str">
        <f>T("   AUTRES")</f>
        <v xml:space="preserve">   AUTRES</v>
      </c>
      <c r="C261">
        <v>12500</v>
      </c>
      <c r="D261">
        <v>58859946</v>
      </c>
    </row>
    <row r="262" spans="1:4" x14ac:dyDescent="0.25">
      <c r="A262" t="str">
        <f>T("   843143")</f>
        <v xml:space="preserve">   843143</v>
      </c>
      <c r="B262" t="str">
        <f>T("   PARTIES DE MACHINES DE SONDAGE OU DE FORAGE DES N°S 8430.41 OU 8430.49")</f>
        <v xml:space="preserve">   PARTIES DE MACHINES DE SONDAGE OU DE FORAGE DES N°S 8430.41 OU 8430.49</v>
      </c>
      <c r="C262">
        <v>600</v>
      </c>
      <c r="D262">
        <v>75335038</v>
      </c>
    </row>
    <row r="263" spans="1:4" x14ac:dyDescent="0.25">
      <c r="A263" t="str">
        <f>T("   843149")</f>
        <v xml:space="preserve">   843149</v>
      </c>
      <c r="B263" t="str">
        <f>T("   AUTRES")</f>
        <v xml:space="preserve">   AUTRES</v>
      </c>
      <c r="C263">
        <v>2640</v>
      </c>
      <c r="D263">
        <v>2080775</v>
      </c>
    </row>
    <row r="264" spans="1:4" x14ac:dyDescent="0.25">
      <c r="A264" t="str">
        <f>T("   843280")</f>
        <v xml:space="preserve">   843280</v>
      </c>
      <c r="B264" t="str">
        <f>T("   AUTRES MACHINES, APPAREILS ET ENGINS")</f>
        <v xml:space="preserve">   AUTRES MACHINES, APPAREILS ET ENGINS</v>
      </c>
      <c r="C264">
        <v>20000</v>
      </c>
      <c r="D264">
        <v>5000000</v>
      </c>
    </row>
    <row r="265" spans="1:4" x14ac:dyDescent="0.25">
      <c r="A265" t="str">
        <f>T("   847149")</f>
        <v xml:space="preserve">   847149</v>
      </c>
      <c r="B265" t="str">
        <f>T("   AUTRES, SE PRESENTANT SOUS FORME DE SYSTEMES")</f>
        <v xml:space="preserve">   AUTRES, SE PRESENTANT SOUS FORME DE SYSTEMES</v>
      </c>
      <c r="C265">
        <v>91</v>
      </c>
      <c r="D265">
        <v>500000</v>
      </c>
    </row>
    <row r="266" spans="1:4" x14ac:dyDescent="0.25">
      <c r="A266" t="str">
        <f>T("   847431")</f>
        <v xml:space="preserve">   847431</v>
      </c>
      <c r="B266" t="str">
        <f>T("   BETONNIERES ET APPAREILS A GACHER LE CIMENT")</f>
        <v xml:space="preserve">   BETONNIERES ET APPAREILS A GACHER LE CIMENT</v>
      </c>
      <c r="C266">
        <v>13196</v>
      </c>
      <c r="D266">
        <v>3406925</v>
      </c>
    </row>
    <row r="267" spans="1:4" x14ac:dyDescent="0.25">
      <c r="A267" t="str">
        <f>T("   847480")</f>
        <v xml:space="preserve">   847480</v>
      </c>
      <c r="B267" t="str">
        <f>T("   AUTRES MACHINES ET APPAREILS")</f>
        <v xml:space="preserve">   AUTRES MACHINES ET APPAREILS</v>
      </c>
      <c r="C267">
        <v>28939</v>
      </c>
      <c r="D267">
        <v>19270689</v>
      </c>
    </row>
    <row r="268" spans="1:4" x14ac:dyDescent="0.25">
      <c r="A268" t="str">
        <f>T("   847910")</f>
        <v xml:space="preserve">   847910</v>
      </c>
      <c r="B268" t="str">
        <f>T("   MACHINES ET APPAREILS POUR LES TRAVAUX PUBLICS, LE BATIMENT OU LES TRAVAUX ANALOGUES")</f>
        <v xml:space="preserve">   MACHINES ET APPAREILS POUR LES TRAVAUX PUBLICS, LE BATIMENT OU LES TRAVAUX ANALOGUES</v>
      </c>
      <c r="C268">
        <v>23150</v>
      </c>
      <c r="D268">
        <v>33000000</v>
      </c>
    </row>
    <row r="269" spans="1:4" x14ac:dyDescent="0.25">
      <c r="A269" t="str">
        <f>T("   848079")</f>
        <v xml:space="preserve">   848079</v>
      </c>
      <c r="B269" t="str">
        <f>T("   AUTRES")</f>
        <v xml:space="preserve">   AUTRES</v>
      </c>
      <c r="C269">
        <v>520</v>
      </c>
      <c r="D269">
        <v>2180250</v>
      </c>
    </row>
    <row r="270" spans="1:4" x14ac:dyDescent="0.25">
      <c r="A270" t="str">
        <f>T("   848350")</f>
        <v xml:space="preserve">   848350</v>
      </c>
      <c r="B270" t="str">
        <f>T("   VOLANTS ET POULIES, Y COMPRIS LES POULIES A MOUFLES")</f>
        <v xml:space="preserve">   VOLANTS ET POULIES, Y COMPRIS LES POULIES A MOUFLES</v>
      </c>
      <c r="C270">
        <v>50</v>
      </c>
      <c r="D270">
        <v>50000</v>
      </c>
    </row>
    <row r="271" spans="1:4" x14ac:dyDescent="0.25">
      <c r="A271" t="str">
        <f>T("   850213")</f>
        <v xml:space="preserve">   850213</v>
      </c>
      <c r="B271" t="str">
        <f>T("   D'UNE PUISSANCE EXCEDANT 375 KVA")</f>
        <v xml:space="preserve">   D'UNE PUISSANCE EXCEDANT 375 KVA</v>
      </c>
      <c r="C271">
        <v>6155</v>
      </c>
      <c r="D271">
        <v>2555197</v>
      </c>
    </row>
    <row r="272" spans="1:4" x14ac:dyDescent="0.25">
      <c r="A272" t="str">
        <f>T("   851130")</f>
        <v xml:space="preserve">   851130</v>
      </c>
      <c r="B272" t="str">
        <f>T("   DISTRIBUTEURS; BOBINES D'ALLUMAGE")</f>
        <v xml:space="preserve">   DISTRIBUTEURS; BOBINES D'ALLUMAGE</v>
      </c>
      <c r="C272">
        <v>30</v>
      </c>
      <c r="D272">
        <v>600000</v>
      </c>
    </row>
    <row r="273" spans="1:4" x14ac:dyDescent="0.25">
      <c r="A273" t="str">
        <f>T("   852550")</f>
        <v xml:space="preserve">   852550</v>
      </c>
      <c r="B273" t="str">
        <f>T("   APPAREILS D'EMISSION")</f>
        <v xml:space="preserve">   APPAREILS D'EMISSION</v>
      </c>
      <c r="C273">
        <v>577</v>
      </c>
      <c r="D273">
        <v>2762880</v>
      </c>
    </row>
    <row r="274" spans="1:4" x14ac:dyDescent="0.25">
      <c r="A274" t="str">
        <f>T("   870120")</f>
        <v xml:space="preserve">   870120</v>
      </c>
      <c r="B274" t="str">
        <f>T("   TRACTEURS ROUTIERS POUR SEMIREMORQUES")</f>
        <v xml:space="preserve">   TRACTEURS ROUTIERS POUR SEMIREMORQUES</v>
      </c>
      <c r="C274">
        <v>7004</v>
      </c>
      <c r="D274">
        <v>10000000</v>
      </c>
    </row>
    <row r="275" spans="1:4" x14ac:dyDescent="0.25">
      <c r="A275" t="str">
        <f>T("   870322")</f>
        <v xml:space="preserve">   870322</v>
      </c>
      <c r="B275" t="str">
        <f>T("   D’UNE CYLINDREE EXCEDANT 1.000 CM³ MAIS N’EXCEDANT PAS 1.500 CM³")</f>
        <v xml:space="preserve">   D’UNE CYLINDREE EXCEDANT 1.000 CM³ MAIS N’EXCEDANT PAS 1.500 CM³</v>
      </c>
      <c r="C275">
        <v>1675</v>
      </c>
      <c r="D275">
        <v>5331544</v>
      </c>
    </row>
    <row r="276" spans="1:4" x14ac:dyDescent="0.25">
      <c r="A276" t="str">
        <f>T("   870323")</f>
        <v xml:space="preserve">   870323</v>
      </c>
      <c r="B276" t="str">
        <f>T("   D’UNE CYLINDREE EXCEDANT 1.500 CM³ MAIS N’EXCEDANT PAS 3.000 CM³")</f>
        <v xml:space="preserve">   D’UNE CYLINDREE EXCEDANT 1.500 CM³ MAIS N’EXCEDANT PAS 3.000 CM³</v>
      </c>
      <c r="C276">
        <v>4680</v>
      </c>
      <c r="D276">
        <v>4264261</v>
      </c>
    </row>
    <row r="277" spans="1:4" x14ac:dyDescent="0.25">
      <c r="A277" t="str">
        <f>T("   870324")</f>
        <v xml:space="preserve">   870324</v>
      </c>
      <c r="B277" t="str">
        <f>T("   D’UNE CYLINDREE EXCEDANT 3.000 CM³")</f>
        <v xml:space="preserve">   D’UNE CYLINDREE EXCEDANT 3.000 CM³</v>
      </c>
      <c r="C277">
        <v>3857</v>
      </c>
      <c r="D277">
        <v>29868781</v>
      </c>
    </row>
    <row r="278" spans="1:4" x14ac:dyDescent="0.25">
      <c r="A278" t="str">
        <f>T("   870333")</f>
        <v xml:space="preserve">   870333</v>
      </c>
      <c r="B278" t="str">
        <f>T("   D'UNE CYLINDREE EXCEDANT 2.500 CM³")</f>
        <v xml:space="preserve">   D'UNE CYLINDREE EXCEDANT 2.500 CM³</v>
      </c>
      <c r="C278">
        <v>1680</v>
      </c>
      <c r="D278">
        <v>20000000</v>
      </c>
    </row>
    <row r="279" spans="1:4" x14ac:dyDescent="0.25">
      <c r="A279" t="str">
        <f>T("   870421")</f>
        <v xml:space="preserve">   870421</v>
      </c>
      <c r="B279" t="str">
        <f>T("   D'UN POIDS EN CHARGE MAXIMAL N'EXCEDANT PAS 5 TONNES")</f>
        <v xml:space="preserve">   D'UN POIDS EN CHARGE MAXIMAL N'EXCEDANT PAS 5 TONNES</v>
      </c>
      <c r="C279">
        <v>1870</v>
      </c>
      <c r="D279">
        <v>12996535</v>
      </c>
    </row>
    <row r="280" spans="1:4" x14ac:dyDescent="0.25">
      <c r="A280" t="str">
        <f>T("   870422")</f>
        <v xml:space="preserve">   870422</v>
      </c>
      <c r="B280" t="str">
        <f>T("   D'UN POIDS EN CHARGE MAXIMAL EXCEDANT 5 TONNES MAIS N'EXCEDANT PAS 20 TONNES")</f>
        <v xml:space="preserve">   D'UN POIDS EN CHARGE MAXIMAL EXCEDANT 5 TONNES MAIS N'EXCEDANT PAS 20 TONNES</v>
      </c>
      <c r="C280">
        <v>16630</v>
      </c>
      <c r="D280">
        <v>15971000</v>
      </c>
    </row>
    <row r="281" spans="1:4" x14ac:dyDescent="0.25">
      <c r="A281" t="str">
        <f>T("   870510")</f>
        <v xml:space="preserve">   870510</v>
      </c>
      <c r="B281" t="str">
        <f>T("   CAMIONSGRUES")</f>
        <v xml:space="preserve">   CAMIONSGRUES</v>
      </c>
      <c r="C281">
        <v>41800</v>
      </c>
      <c r="D281">
        <v>48000000</v>
      </c>
    </row>
    <row r="282" spans="1:4" x14ac:dyDescent="0.25">
      <c r="A282" t="str">
        <f>T("   871190")</f>
        <v xml:space="preserve">   871190</v>
      </c>
      <c r="B282" t="str">
        <f>T("   AUTRES")</f>
        <v xml:space="preserve">   AUTRES</v>
      </c>
      <c r="C282">
        <v>900</v>
      </c>
      <c r="D282">
        <v>1000000</v>
      </c>
    </row>
    <row r="283" spans="1:4" x14ac:dyDescent="0.25">
      <c r="A283" t="str">
        <f>T("   871639")</f>
        <v xml:space="preserve">   871639</v>
      </c>
      <c r="B283" t="str">
        <f>T("   AUTRES")</f>
        <v xml:space="preserve">   AUTRES</v>
      </c>
      <c r="C283">
        <v>9960</v>
      </c>
      <c r="D283">
        <v>25000000</v>
      </c>
    </row>
    <row r="284" spans="1:4" x14ac:dyDescent="0.25">
      <c r="A284" t="str">
        <f>T("   871680")</f>
        <v xml:space="preserve">   871680</v>
      </c>
      <c r="B284" t="str">
        <f>T("   AUTRES VEHICULES")</f>
        <v xml:space="preserve">   AUTRES VEHICULES</v>
      </c>
      <c r="C284">
        <v>500</v>
      </c>
      <c r="D284">
        <v>1133039</v>
      </c>
    </row>
    <row r="285" spans="1:4" x14ac:dyDescent="0.25">
      <c r="A285" t="str">
        <f>T("   940350")</f>
        <v xml:space="preserve">   940350</v>
      </c>
      <c r="B285" t="str">
        <f>T("   MEUBLES EN BOIS DES TYPES UTILISES DANS LES CHAMBRES A COUCHER")</f>
        <v xml:space="preserve">   MEUBLES EN BOIS DES TYPES UTILISES DANS LES CHAMBRES A COUCHER</v>
      </c>
      <c r="C285">
        <v>950</v>
      </c>
      <c r="D285">
        <v>1200000</v>
      </c>
    </row>
    <row r="286" spans="1:4" x14ac:dyDescent="0.25">
      <c r="A286" t="str">
        <f>T("   940360")</f>
        <v xml:space="preserve">   940360</v>
      </c>
      <c r="B286" t="str">
        <f>T("   Autres meubles en bois")</f>
        <v xml:space="preserve">   Autres meubles en bois</v>
      </c>
      <c r="C286">
        <v>3300</v>
      </c>
      <c r="D286">
        <v>800000</v>
      </c>
    </row>
    <row r="287" spans="1:4" x14ac:dyDescent="0.25">
      <c r="A287" t="str">
        <f>T("   950590")</f>
        <v xml:space="preserve">   950590</v>
      </c>
      <c r="B287" t="str">
        <f>T("   AUTRES")</f>
        <v xml:space="preserve">   AUTRES</v>
      </c>
      <c r="C287">
        <v>25000</v>
      </c>
      <c r="D287">
        <v>3040000</v>
      </c>
    </row>
    <row r="288" spans="1:4" s="1" customFormat="1" x14ac:dyDescent="0.25">
      <c r="A288" s="1" t="str">
        <f>T("   ZZ_Total_Produit_SH6")</f>
        <v xml:space="preserve">   ZZ_Total_Produit_SH6</v>
      </c>
      <c r="B288" s="1" t="str">
        <f>T("   ZZ_Total_Produit_SH6")</f>
        <v xml:space="preserve">   ZZ_Total_Produit_SH6</v>
      </c>
      <c r="C288" s="1">
        <v>6808836.7699999996</v>
      </c>
      <c r="D288" s="1">
        <v>6263653823</v>
      </c>
    </row>
    <row r="289" spans="1:4" s="1" customFormat="1" x14ac:dyDescent="0.25">
      <c r="B289" s="1" t="str">
        <f>T("Cameroun")</f>
        <v>Cameroun</v>
      </c>
    </row>
    <row r="290" spans="1:4" x14ac:dyDescent="0.25">
      <c r="A290" t="str">
        <f>T("   040590")</f>
        <v xml:space="preserve">   040590</v>
      </c>
      <c r="B290" t="str">
        <f>T("   AUTRES")</f>
        <v xml:space="preserve">   AUTRES</v>
      </c>
      <c r="C290">
        <v>1031</v>
      </c>
      <c r="D290">
        <v>3450000</v>
      </c>
    </row>
    <row r="291" spans="1:4" x14ac:dyDescent="0.25">
      <c r="A291" t="str">
        <f>T("   210690")</f>
        <v xml:space="preserve">   210690</v>
      </c>
      <c r="B291" t="str">
        <f>T("   AUTRES")</f>
        <v xml:space="preserve">   AUTRES</v>
      </c>
      <c r="C291">
        <v>153110</v>
      </c>
      <c r="D291">
        <v>1000000</v>
      </c>
    </row>
    <row r="292" spans="1:4" x14ac:dyDescent="0.25">
      <c r="A292" t="str">
        <f>T("   300390")</f>
        <v xml:space="preserve">   300390</v>
      </c>
      <c r="B292" t="str">
        <f>T("   AUTRES")</f>
        <v xml:space="preserve">   AUTRES</v>
      </c>
      <c r="C292">
        <v>36236</v>
      </c>
      <c r="D292">
        <v>435896982</v>
      </c>
    </row>
    <row r="293" spans="1:4" x14ac:dyDescent="0.25">
      <c r="A293" t="str">
        <f>T("   300490")</f>
        <v xml:space="preserve">   300490</v>
      </c>
      <c r="B293" t="str">
        <f>T("   AUTRES")</f>
        <v xml:space="preserve">   AUTRES</v>
      </c>
      <c r="C293">
        <v>65</v>
      </c>
      <c r="D293">
        <v>85846</v>
      </c>
    </row>
    <row r="294" spans="1:4" x14ac:dyDescent="0.25">
      <c r="A294" t="str">
        <f>T("   370390")</f>
        <v xml:space="preserve">   370390</v>
      </c>
      <c r="B294" t="str">
        <f>T("   AUTRES")</f>
        <v xml:space="preserve">   AUTRES</v>
      </c>
      <c r="C294">
        <v>10952</v>
      </c>
      <c r="D294">
        <v>2912500</v>
      </c>
    </row>
    <row r="295" spans="1:4" x14ac:dyDescent="0.25">
      <c r="A295" t="str">
        <f>T("   391729")</f>
        <v xml:space="preserve">   391729</v>
      </c>
      <c r="B295" t="str">
        <f>T("   EN AUTRES MATIERES PLASTIQUES")</f>
        <v xml:space="preserve">   EN AUTRES MATIERES PLASTIQUES</v>
      </c>
      <c r="C295">
        <v>2300</v>
      </c>
      <c r="D295">
        <v>6300000</v>
      </c>
    </row>
    <row r="296" spans="1:4" x14ac:dyDescent="0.25">
      <c r="A296" t="str">
        <f>T("   620590")</f>
        <v xml:space="preserve">   620590</v>
      </c>
      <c r="B296" t="str">
        <f>T("   D'AUTRES MATIERES TEXTILES")</f>
        <v xml:space="preserve">   D'AUTRES MATIERES TEXTILES</v>
      </c>
      <c r="C296">
        <v>4200</v>
      </c>
      <c r="D296">
        <v>3450000</v>
      </c>
    </row>
    <row r="297" spans="1:4" x14ac:dyDescent="0.25">
      <c r="A297" t="str">
        <f>T("   732394")</f>
        <v xml:space="preserve">   732394</v>
      </c>
      <c r="B297" t="str">
        <f>T("   EN FER OU EN ACIER, EMAILLES")</f>
        <v xml:space="preserve">   EN FER OU EN ACIER, EMAILLES</v>
      </c>
      <c r="C297">
        <v>1130</v>
      </c>
      <c r="D297">
        <v>1050000</v>
      </c>
    </row>
    <row r="298" spans="1:4" x14ac:dyDescent="0.25">
      <c r="A298" t="str">
        <f>T("   843149")</f>
        <v xml:space="preserve">   843149</v>
      </c>
      <c r="B298" t="str">
        <f>T("   AUTRES")</f>
        <v xml:space="preserve">   AUTRES</v>
      </c>
      <c r="C298">
        <v>500</v>
      </c>
      <c r="D298">
        <v>2078945</v>
      </c>
    </row>
    <row r="299" spans="1:4" x14ac:dyDescent="0.25">
      <c r="A299" t="str">
        <f>T("   843840")</f>
        <v xml:space="preserve">   843840</v>
      </c>
      <c r="B299" t="str">
        <f>T("   Machines et appareils pour la brasserie")</f>
        <v xml:space="preserve">   Machines et appareils pour la brasserie</v>
      </c>
      <c r="C299">
        <v>2664</v>
      </c>
      <c r="D299">
        <v>64841413</v>
      </c>
    </row>
    <row r="300" spans="1:4" x14ac:dyDescent="0.25">
      <c r="A300" t="str">
        <f>T("   850164")</f>
        <v xml:space="preserve">   850164</v>
      </c>
      <c r="B300" t="str">
        <f>T("   D'UNE PUISSANCE EXCEDANT 750 KVA")</f>
        <v xml:space="preserve">   D'UNE PUISSANCE EXCEDANT 750 KVA</v>
      </c>
      <c r="C300">
        <v>600</v>
      </c>
      <c r="D300">
        <v>19915840</v>
      </c>
    </row>
    <row r="301" spans="1:4" x14ac:dyDescent="0.25">
      <c r="A301" t="str">
        <f>T("   850780")</f>
        <v xml:space="preserve">   850780</v>
      </c>
      <c r="B301" t="str">
        <f>T("   AUTRES ACCUMULATEURS")</f>
        <v xml:space="preserve">   AUTRES ACCUMULATEURS</v>
      </c>
      <c r="C301">
        <v>7230</v>
      </c>
      <c r="D301">
        <v>10000000</v>
      </c>
    </row>
    <row r="302" spans="1:4" x14ac:dyDescent="0.25">
      <c r="A302" t="str">
        <f>T("   860610")</f>
        <v xml:space="preserve">   860610</v>
      </c>
      <c r="B302" t="str">
        <f>T("   WAGONSCITERNES ET SIMILAIRES")</f>
        <v xml:space="preserve">   WAGONSCITERNES ET SIMILAIRES</v>
      </c>
      <c r="C302">
        <v>8000</v>
      </c>
      <c r="D302">
        <v>16071020</v>
      </c>
    </row>
    <row r="303" spans="1:4" x14ac:dyDescent="0.25">
      <c r="A303" t="str">
        <f>T("   870322")</f>
        <v xml:space="preserve">   870322</v>
      </c>
      <c r="B303" t="str">
        <f>T("   D’UNE CYLINDREE EXCEDANT 1.000 CM³ MAIS N’EXCEDANT PAS 1.500 CM³")</f>
        <v xml:space="preserve">   D’UNE CYLINDREE EXCEDANT 1.000 CM³ MAIS N’EXCEDANT PAS 1.500 CM³</v>
      </c>
      <c r="C303">
        <v>1230</v>
      </c>
      <c r="D303">
        <v>1200000</v>
      </c>
    </row>
    <row r="304" spans="1:4" x14ac:dyDescent="0.25">
      <c r="A304" t="str">
        <f>T("   870323")</f>
        <v xml:space="preserve">   870323</v>
      </c>
      <c r="B304" t="str">
        <f>T("   D’UNE CYLINDREE EXCEDANT 1.500 CM³ MAIS N’EXCEDANT PAS 3.000 CM³")</f>
        <v xml:space="preserve">   D’UNE CYLINDREE EXCEDANT 1.500 CM³ MAIS N’EXCEDANT PAS 3.000 CM³</v>
      </c>
      <c r="C304">
        <v>1870</v>
      </c>
      <c r="D304">
        <v>1200000</v>
      </c>
    </row>
    <row r="305" spans="1:4" x14ac:dyDescent="0.25">
      <c r="A305" t="str">
        <f>T("   871110")</f>
        <v xml:space="preserve">   871110</v>
      </c>
      <c r="B305" t="str">
        <f>T("   A MOTEUR A PISTON ALTERNATIF, D'UNE CYLINDREE N'EXCEDANT PAS 50 CM³")</f>
        <v xml:space="preserve">   A MOTEUR A PISTON ALTERNATIF, D'UNE CYLINDREE N'EXCEDANT PAS 50 CM³</v>
      </c>
      <c r="C305">
        <v>50</v>
      </c>
      <c r="D305">
        <v>330000</v>
      </c>
    </row>
    <row r="306" spans="1:4" x14ac:dyDescent="0.25">
      <c r="A306" t="str">
        <f>T("   940350")</f>
        <v xml:space="preserve">   940350</v>
      </c>
      <c r="B306" t="str">
        <f>T("   MEUBLES EN BOIS DES TYPES UTILISES DANS LES CHAMBRES A COUCHER")</f>
        <v xml:space="preserve">   MEUBLES EN BOIS DES TYPES UTILISES DANS LES CHAMBRES A COUCHER</v>
      </c>
      <c r="C306">
        <v>16500</v>
      </c>
      <c r="D306">
        <v>42490995</v>
      </c>
    </row>
    <row r="307" spans="1:4" x14ac:dyDescent="0.25">
      <c r="A307" t="str">
        <f>T("   940360")</f>
        <v xml:space="preserve">   940360</v>
      </c>
      <c r="B307" t="str">
        <f>T("   Autres meubles en bois")</f>
        <v xml:space="preserve">   Autres meubles en bois</v>
      </c>
      <c r="C307">
        <v>2460</v>
      </c>
      <c r="D307">
        <v>11670000</v>
      </c>
    </row>
    <row r="308" spans="1:4" s="1" customFormat="1" x14ac:dyDescent="0.25">
      <c r="A308" s="1" t="str">
        <f>T("   ZZ_Total_Produit_SH6")</f>
        <v xml:space="preserve">   ZZ_Total_Produit_SH6</v>
      </c>
      <c r="B308" s="1" t="str">
        <f>T("   ZZ_Total_Produit_SH6")</f>
        <v xml:space="preserve">   ZZ_Total_Produit_SH6</v>
      </c>
      <c r="C308" s="1">
        <v>250128</v>
      </c>
      <c r="D308" s="1">
        <v>623943541</v>
      </c>
    </row>
    <row r="309" spans="1:4" s="1" customFormat="1" x14ac:dyDescent="0.25">
      <c r="B309" s="1" t="str">
        <f>T("Chine")</f>
        <v>Chine</v>
      </c>
    </row>
    <row r="310" spans="1:4" x14ac:dyDescent="0.25">
      <c r="A310" t="str">
        <f>T("   030339")</f>
        <v xml:space="preserve">   030339</v>
      </c>
      <c r="B310" t="str">
        <f>T("   AUTRES")</f>
        <v xml:space="preserve">   AUTRES</v>
      </c>
      <c r="C310">
        <v>30000</v>
      </c>
      <c r="D310">
        <v>12000000</v>
      </c>
    </row>
    <row r="311" spans="1:4" x14ac:dyDescent="0.25">
      <c r="A311" t="str">
        <f>T("   040221")</f>
        <v xml:space="preserve">   040221</v>
      </c>
      <c r="B311" t="str">
        <f>T("   SANS ADDITION DE SUCRE OU D'AUTRES EDULCORANTS")</f>
        <v xml:space="preserve">   SANS ADDITION DE SUCRE OU D'AUTRES EDULCORANTS</v>
      </c>
      <c r="C311">
        <v>10000</v>
      </c>
      <c r="D311">
        <v>2500000</v>
      </c>
    </row>
    <row r="312" spans="1:4" x14ac:dyDescent="0.25">
      <c r="A312" t="str">
        <f>T("   040510")</f>
        <v xml:space="preserve">   040510</v>
      </c>
      <c r="B312" t="str">
        <f>T("   BEURRE")</f>
        <v xml:space="preserve">   BEURRE</v>
      </c>
      <c r="C312">
        <v>1194476</v>
      </c>
      <c r="D312">
        <v>737335844</v>
      </c>
    </row>
    <row r="313" spans="1:4" x14ac:dyDescent="0.25">
      <c r="A313" t="str">
        <f>T("   080131")</f>
        <v xml:space="preserve">   080131</v>
      </c>
      <c r="B313" t="str">
        <f>T("   EN COQUES")</f>
        <v xml:space="preserve">   EN COQUES</v>
      </c>
      <c r="C313">
        <v>2202450</v>
      </c>
      <c r="D313">
        <v>574580992</v>
      </c>
    </row>
    <row r="314" spans="1:4" x14ac:dyDescent="0.25">
      <c r="A314" t="str">
        <f>T("   090810")</f>
        <v xml:space="preserve">   090810</v>
      </c>
      <c r="B314" t="str">
        <f>T("   NOIX MUSCADES")</f>
        <v xml:space="preserve">   NOIX MUSCADES</v>
      </c>
      <c r="C314">
        <v>8000</v>
      </c>
      <c r="D314">
        <v>1200000</v>
      </c>
    </row>
    <row r="315" spans="1:4" x14ac:dyDescent="0.25">
      <c r="A315" t="str">
        <f>T("   120100")</f>
        <v xml:space="preserve">   120100</v>
      </c>
      <c r="B315" t="str">
        <f>T("   Feves de soja,meme concassees")</f>
        <v xml:space="preserve">   Feves de soja,meme concassees</v>
      </c>
      <c r="C315">
        <v>131080</v>
      </c>
      <c r="D315">
        <v>22939000</v>
      </c>
    </row>
    <row r="316" spans="1:4" x14ac:dyDescent="0.25">
      <c r="A316" t="str">
        <f>T("   120740")</f>
        <v xml:space="preserve">   120740</v>
      </c>
      <c r="B316" t="str">
        <f>T("   GRAINES DE SESAME")</f>
        <v xml:space="preserve">   GRAINES DE SESAME</v>
      </c>
      <c r="C316">
        <v>668250</v>
      </c>
      <c r="D316">
        <v>129918000</v>
      </c>
    </row>
    <row r="317" spans="1:4" x14ac:dyDescent="0.25">
      <c r="A317" t="str">
        <f>T("   121230")</f>
        <v xml:space="preserve">   121230</v>
      </c>
      <c r="B317" t="str">
        <f>T("   NOYAUX,AMANDES D'ABRICOTS,PECHES,PRUNES,DESTINES A L'ALIMENTATION HUMAINE")</f>
        <v xml:space="preserve">   NOYAUX,AMANDES D'ABRICOTS,PECHES,PRUNES,DESTINES A L'ALIMENTATION HUMAINE</v>
      </c>
      <c r="C317">
        <v>85</v>
      </c>
      <c r="D317">
        <v>10823291</v>
      </c>
    </row>
    <row r="318" spans="1:4" x14ac:dyDescent="0.25">
      <c r="A318" t="str">
        <f>T("   140420")</f>
        <v xml:space="preserve">   140420</v>
      </c>
      <c r="B318" t="str">
        <f>T("   Linters de coton")</f>
        <v xml:space="preserve">   Linters de coton</v>
      </c>
      <c r="C318">
        <v>1357771</v>
      </c>
      <c r="D318">
        <v>245460730</v>
      </c>
    </row>
    <row r="319" spans="1:4" x14ac:dyDescent="0.25">
      <c r="A319" t="str">
        <f>T("   230610")</f>
        <v xml:space="preserve">   230610</v>
      </c>
      <c r="B319" t="str">
        <f>T("   DE GRAINES DE COTON")</f>
        <v xml:space="preserve">   DE GRAINES DE COTON</v>
      </c>
      <c r="C319">
        <v>2911056</v>
      </c>
      <c r="D319">
        <v>366937681</v>
      </c>
    </row>
    <row r="320" spans="1:4" x14ac:dyDescent="0.25">
      <c r="A320" t="str">
        <f>T("   230690")</f>
        <v xml:space="preserve">   230690</v>
      </c>
      <c r="B320" t="str">
        <f t="shared" ref="B320:B326" si="0">T("   AUTRES")</f>
        <v xml:space="preserve">   AUTRES</v>
      </c>
      <c r="C320">
        <v>487076</v>
      </c>
      <c r="D320">
        <v>18188489</v>
      </c>
    </row>
    <row r="321" spans="1:4" x14ac:dyDescent="0.25">
      <c r="A321" t="str">
        <f>T("   392590")</f>
        <v xml:space="preserve">   392590</v>
      </c>
      <c r="B321" t="str">
        <f t="shared" si="0"/>
        <v xml:space="preserve">   AUTRES</v>
      </c>
      <c r="C321">
        <v>18000</v>
      </c>
      <c r="D321">
        <v>5000000</v>
      </c>
    </row>
    <row r="322" spans="1:4" x14ac:dyDescent="0.25">
      <c r="A322" t="str">
        <f>T("   440349")</f>
        <v xml:space="preserve">   440349</v>
      </c>
      <c r="B322" t="str">
        <f t="shared" si="0"/>
        <v xml:space="preserve">   AUTRES</v>
      </c>
      <c r="C322">
        <v>20000</v>
      </c>
      <c r="D322">
        <v>1000000</v>
      </c>
    </row>
    <row r="323" spans="1:4" x14ac:dyDescent="0.25">
      <c r="A323" t="str">
        <f>T("   440399")</f>
        <v xml:space="preserve">   440399</v>
      </c>
      <c r="B323" t="str">
        <f t="shared" si="0"/>
        <v xml:space="preserve">   AUTRES</v>
      </c>
      <c r="C323">
        <v>7350000</v>
      </c>
      <c r="D323">
        <v>396300000</v>
      </c>
    </row>
    <row r="324" spans="1:4" x14ac:dyDescent="0.25">
      <c r="A324" t="str">
        <f>T("   440690")</f>
        <v xml:space="preserve">   440690</v>
      </c>
      <c r="B324" t="str">
        <f t="shared" si="0"/>
        <v xml:space="preserve">   AUTRES</v>
      </c>
      <c r="C324">
        <v>7750000</v>
      </c>
      <c r="D324">
        <v>392200000</v>
      </c>
    </row>
    <row r="325" spans="1:4" x14ac:dyDescent="0.25">
      <c r="A325" t="str">
        <f>T("   440729")</f>
        <v xml:space="preserve">   440729</v>
      </c>
      <c r="B325" t="str">
        <f t="shared" si="0"/>
        <v xml:space="preserve">   AUTRES</v>
      </c>
      <c r="C325">
        <v>3634000</v>
      </c>
      <c r="D325">
        <v>374588956</v>
      </c>
    </row>
    <row r="326" spans="1:4" x14ac:dyDescent="0.25">
      <c r="A326" t="str">
        <f>T("   442090")</f>
        <v xml:space="preserve">   442090</v>
      </c>
      <c r="B326" t="str">
        <f t="shared" si="0"/>
        <v xml:space="preserve">   AUTRES</v>
      </c>
      <c r="C326">
        <v>5000</v>
      </c>
      <c r="D326">
        <v>2000000</v>
      </c>
    </row>
    <row r="327" spans="1:4" x14ac:dyDescent="0.25">
      <c r="A327" t="str">
        <f>T("   520100")</f>
        <v xml:space="preserve">   520100</v>
      </c>
      <c r="B327" t="str">
        <f>T("   COTON, NON CARDE NI PEIGNE.")</f>
        <v xml:space="preserve">   COTON, NON CARDE NI PEIGNE.</v>
      </c>
      <c r="C327">
        <v>34292163</v>
      </c>
      <c r="D327">
        <v>30072629257</v>
      </c>
    </row>
    <row r="328" spans="1:4" x14ac:dyDescent="0.25">
      <c r="A328" t="str">
        <f>T("   520512")</f>
        <v xml:space="preserve">   520512</v>
      </c>
      <c r="B328" t="str">
        <f>T("   TITRANT MOINS DE 714,29 DECITEX   MAIS PAS MOINS DE 232,56 DECITEX   (EXCEDANT 14 NU")</f>
        <v xml:space="preserve">   TITRANT MOINS DE 714,29 DECITEX   MAIS PAS MOINS DE 232,56 DECITEX   (EXCEDANT 14 NU</v>
      </c>
      <c r="C328">
        <v>160400</v>
      </c>
      <c r="D328">
        <v>257779160</v>
      </c>
    </row>
    <row r="329" spans="1:4" x14ac:dyDescent="0.25">
      <c r="A329" t="str">
        <f>T("   630510")</f>
        <v xml:space="preserve">   630510</v>
      </c>
      <c r="B329" t="str">
        <f>T("   DE JUTE OU D'AUTRES FIBRES TEXTILES LIBERIENNES DU N° 53.03")</f>
        <v xml:space="preserve">   DE JUTE OU D'AUTRES FIBRES TEXTILES LIBERIENNES DU N° 53.03</v>
      </c>
      <c r="C329">
        <v>33241</v>
      </c>
      <c r="D329">
        <v>16827522</v>
      </c>
    </row>
    <row r="330" spans="1:4" x14ac:dyDescent="0.25">
      <c r="A330" t="str">
        <f>T("   630900")</f>
        <v xml:space="preserve">   630900</v>
      </c>
      <c r="B330" t="str">
        <f>T("   ARTICLES DE FRIPERIE.")</f>
        <v xml:space="preserve">   ARTICLES DE FRIPERIE.</v>
      </c>
      <c r="C330">
        <v>11000</v>
      </c>
      <c r="D330">
        <v>2450000</v>
      </c>
    </row>
    <row r="331" spans="1:4" x14ac:dyDescent="0.25">
      <c r="A331" t="str">
        <f>T("   720429")</f>
        <v xml:space="preserve">   720429</v>
      </c>
      <c r="B331" t="str">
        <f>T("   AUTRES")</f>
        <v xml:space="preserve">   AUTRES</v>
      </c>
      <c r="C331">
        <v>61306000</v>
      </c>
      <c r="D331">
        <v>3071800000</v>
      </c>
    </row>
    <row r="332" spans="1:4" x14ac:dyDescent="0.25">
      <c r="A332" t="str">
        <f>T("   720430")</f>
        <v xml:space="preserve">   720430</v>
      </c>
      <c r="B332" t="str">
        <f>T("   Dechets et debris de fer ou d'acier etames")</f>
        <v xml:space="preserve">   Dechets et debris de fer ou d'acier etames</v>
      </c>
      <c r="C332">
        <v>38670000</v>
      </c>
      <c r="D332">
        <v>1937500000</v>
      </c>
    </row>
    <row r="333" spans="1:4" x14ac:dyDescent="0.25">
      <c r="A333" t="str">
        <f>T("   720449")</f>
        <v xml:space="preserve">   720449</v>
      </c>
      <c r="B333" t="str">
        <f>T("   AUTRES")</f>
        <v xml:space="preserve">   AUTRES</v>
      </c>
      <c r="C333">
        <v>12300000</v>
      </c>
      <c r="D333">
        <v>615000000</v>
      </c>
    </row>
    <row r="334" spans="1:4" x14ac:dyDescent="0.25">
      <c r="A334" t="str">
        <f>T("   760200")</f>
        <v xml:space="preserve">   760200</v>
      </c>
      <c r="B334" t="str">
        <f>T("   DECHETS ET DEBRIS D'ALUMINIUM.")</f>
        <v xml:space="preserve">   DECHETS ET DEBRIS D'ALUMINIUM.</v>
      </c>
      <c r="C334">
        <v>60000</v>
      </c>
      <c r="D334">
        <v>3000000</v>
      </c>
    </row>
    <row r="335" spans="1:4" x14ac:dyDescent="0.25">
      <c r="A335" t="str">
        <f>T("   842940")</f>
        <v xml:space="preserve">   842940</v>
      </c>
      <c r="B335" t="str">
        <f>T("   COMPACTEUSES ET ROULEAUX COMPRESSEURS")</f>
        <v xml:space="preserve">   COMPACTEUSES ET ROULEAUX COMPRESSEURS</v>
      </c>
      <c r="C335">
        <v>12300</v>
      </c>
      <c r="D335">
        <v>36359962</v>
      </c>
    </row>
    <row r="336" spans="1:4" x14ac:dyDescent="0.25">
      <c r="A336" t="str">
        <f>T("   843049")</f>
        <v xml:space="preserve">   843049</v>
      </c>
      <c r="B336" t="str">
        <f>T("   AUTRES")</f>
        <v xml:space="preserve">   AUTRES</v>
      </c>
      <c r="C336">
        <v>110000</v>
      </c>
      <c r="D336">
        <v>175000000</v>
      </c>
    </row>
    <row r="337" spans="1:4" x14ac:dyDescent="0.25">
      <c r="A337" t="str">
        <f>T("   847910")</f>
        <v xml:space="preserve">   847910</v>
      </c>
      <c r="B337" t="str">
        <f>T("   MACHINES ET APPAREILS POUR LES TRAVAUX PUBLICS, LE BATIMENT OU LES TRAVAUX ANALOGUES")</f>
        <v xml:space="preserve">   MACHINES ET APPAREILS POUR LES TRAVAUX PUBLICS, LE BATIMENT OU LES TRAVAUX ANALOGUES</v>
      </c>
      <c r="C337">
        <v>17820</v>
      </c>
      <c r="D337">
        <v>41796378</v>
      </c>
    </row>
    <row r="338" spans="1:4" x14ac:dyDescent="0.25">
      <c r="A338" t="str">
        <f>T("   850213")</f>
        <v xml:space="preserve">   850213</v>
      </c>
      <c r="B338" t="str">
        <f>T("   D'UNE PUISSANCE EXCEDANT 375 KVA")</f>
        <v xml:space="preserve">   D'UNE PUISSANCE EXCEDANT 375 KVA</v>
      </c>
      <c r="C338">
        <v>1500</v>
      </c>
      <c r="D338">
        <v>4099698</v>
      </c>
    </row>
    <row r="339" spans="1:4" x14ac:dyDescent="0.25">
      <c r="A339" t="str">
        <f>T("   850434")</f>
        <v xml:space="preserve">   850434</v>
      </c>
      <c r="B339" t="str">
        <f>T("   D'UNE PUISSANCE EXCEDANT 500 KVA")</f>
        <v xml:space="preserve">   D'UNE PUISSANCE EXCEDANT 500 KVA</v>
      </c>
      <c r="C339">
        <v>52650</v>
      </c>
      <c r="D339">
        <v>591825813</v>
      </c>
    </row>
    <row r="340" spans="1:4" x14ac:dyDescent="0.25">
      <c r="A340" t="str">
        <f>T("   871610")</f>
        <v xml:space="preserve">   871610</v>
      </c>
      <c r="B340" t="str">
        <f>T("   REMORQUES ET SEMIREMORQUES POUR L'HABITATION OU LE CAMPING, DU TYPE CARAVANE")</f>
        <v xml:space="preserve">   REMORQUES ET SEMIREMORQUES POUR L'HABITATION OU LE CAMPING, DU TYPE CARAVANE</v>
      </c>
      <c r="C340">
        <v>50000</v>
      </c>
      <c r="D340">
        <v>3000000</v>
      </c>
    </row>
    <row r="341" spans="1:4" s="1" customFormat="1" x14ac:dyDescent="0.25">
      <c r="A341" s="1" t="str">
        <f>T("   ZZ_Total_Produit_SH6")</f>
        <v xml:space="preserve">   ZZ_Total_Produit_SH6</v>
      </c>
      <c r="B341" s="1" t="str">
        <f>T("   ZZ_Total_Produit_SH6")</f>
        <v xml:space="preserve">   ZZ_Total_Produit_SH6</v>
      </c>
      <c r="C341" s="1">
        <v>174854318</v>
      </c>
      <c r="D341" s="1">
        <v>40122040773</v>
      </c>
    </row>
    <row r="342" spans="1:4" s="1" customFormat="1" x14ac:dyDescent="0.25">
      <c r="B342" s="1" t="str">
        <f>T("Colombie")</f>
        <v>Colombie</v>
      </c>
    </row>
    <row r="343" spans="1:4" x14ac:dyDescent="0.25">
      <c r="A343" t="str">
        <f>T("   121230")</f>
        <v xml:space="preserve">   121230</v>
      </c>
      <c r="B343" t="str">
        <f>T("   NOYAUX,AMANDES D'ABRICOTS,PECHES,PRUNES,DESTINES A L'ALIMENTATION HUMAINE")</f>
        <v xml:space="preserve">   NOYAUX,AMANDES D'ABRICOTS,PECHES,PRUNES,DESTINES A L'ALIMENTATION HUMAINE</v>
      </c>
      <c r="C343">
        <v>44.37</v>
      </c>
      <c r="D343">
        <v>80000</v>
      </c>
    </row>
    <row r="344" spans="1:4" x14ac:dyDescent="0.25">
      <c r="A344" t="str">
        <f>T("   520100")</f>
        <v xml:space="preserve">   520100</v>
      </c>
      <c r="B344" t="str">
        <f>T("   COTON, NON CARDE NI PEIGNE.")</f>
        <v xml:space="preserve">   COTON, NON CARDE NI PEIGNE.</v>
      </c>
      <c r="C344">
        <v>185851</v>
      </c>
      <c r="D344">
        <v>115230106</v>
      </c>
    </row>
    <row r="345" spans="1:4" x14ac:dyDescent="0.25">
      <c r="A345" t="str">
        <f>T("   841381")</f>
        <v xml:space="preserve">   841381</v>
      </c>
      <c r="B345" t="str">
        <f>T("   POMPES")</f>
        <v xml:space="preserve">   POMPES</v>
      </c>
      <c r="C345">
        <v>551</v>
      </c>
      <c r="D345">
        <v>5528914</v>
      </c>
    </row>
    <row r="346" spans="1:4" x14ac:dyDescent="0.25">
      <c r="A346" t="str">
        <f>T("   841480")</f>
        <v xml:space="preserve">   841480</v>
      </c>
      <c r="B346" t="str">
        <f>T("   AUTRES")</f>
        <v xml:space="preserve">   AUTRES</v>
      </c>
      <c r="C346">
        <v>1159</v>
      </c>
      <c r="D346">
        <v>12111373</v>
      </c>
    </row>
    <row r="347" spans="1:4" x14ac:dyDescent="0.25">
      <c r="A347" t="str">
        <f>T("   847290")</f>
        <v xml:space="preserve">   847290</v>
      </c>
      <c r="B347" t="str">
        <f>T("   AUTRES")</f>
        <v xml:space="preserve">   AUTRES</v>
      </c>
      <c r="C347">
        <v>78</v>
      </c>
      <c r="D347">
        <v>300000</v>
      </c>
    </row>
    <row r="348" spans="1:4" x14ac:dyDescent="0.25">
      <c r="A348" t="str">
        <f>T("   847431")</f>
        <v xml:space="preserve">   847431</v>
      </c>
      <c r="B348" t="str">
        <f>T("   BETONNIERES ET APPAREILS A GACHER LE CIMENT")</f>
        <v xml:space="preserve">   BETONNIERES ET APPAREILS A GACHER LE CIMENT</v>
      </c>
      <c r="C348">
        <v>18500</v>
      </c>
      <c r="D348">
        <v>28526979</v>
      </c>
    </row>
    <row r="349" spans="1:4" s="1" customFormat="1" x14ac:dyDescent="0.25">
      <c r="A349" s="1" t="str">
        <f>T("   ZZ_Total_Produit_SH6")</f>
        <v xml:space="preserve">   ZZ_Total_Produit_SH6</v>
      </c>
      <c r="B349" s="1" t="str">
        <f>T("   ZZ_Total_Produit_SH6")</f>
        <v xml:space="preserve">   ZZ_Total_Produit_SH6</v>
      </c>
      <c r="C349" s="1">
        <v>206183.37</v>
      </c>
      <c r="D349" s="1">
        <v>161777372</v>
      </c>
    </row>
    <row r="350" spans="1:4" s="1" customFormat="1" x14ac:dyDescent="0.25">
      <c r="B350" s="1" t="str">
        <f>T("Tchécoslovaquie")</f>
        <v>Tchécoslovaquie</v>
      </c>
    </row>
    <row r="351" spans="1:4" x14ac:dyDescent="0.25">
      <c r="A351" t="str">
        <f>T("   620590")</f>
        <v xml:space="preserve">   620590</v>
      </c>
      <c r="B351" t="str">
        <f>T("   D'AUTRES MATIERES TEXTILES")</f>
        <v xml:space="preserve">   D'AUTRES MATIERES TEXTILES</v>
      </c>
      <c r="C351">
        <v>500</v>
      </c>
      <c r="D351">
        <v>400000</v>
      </c>
    </row>
    <row r="352" spans="1:4" x14ac:dyDescent="0.25">
      <c r="A352" t="str">
        <f>T("   732394")</f>
        <v xml:space="preserve">   732394</v>
      </c>
      <c r="B352" t="str">
        <f>T("   EN FER OU EN ACIER, EMAILLES")</f>
        <v xml:space="preserve">   EN FER OU EN ACIER, EMAILLES</v>
      </c>
      <c r="C352">
        <v>200</v>
      </c>
      <c r="D352">
        <v>100000</v>
      </c>
    </row>
    <row r="353" spans="1:4" x14ac:dyDescent="0.25">
      <c r="A353" t="str">
        <f>T("   940350")</f>
        <v xml:space="preserve">   940350</v>
      </c>
      <c r="B353" t="str">
        <f>T("   MEUBLES EN BOIS DES TYPES UTILISES DANS LES CHAMBRES A COUCHER")</f>
        <v xml:space="preserve">   MEUBLES EN BOIS DES TYPES UTILISES DANS LES CHAMBRES A COUCHER</v>
      </c>
      <c r="C353">
        <v>1300</v>
      </c>
      <c r="D353">
        <v>1500000</v>
      </c>
    </row>
    <row r="354" spans="1:4" s="1" customFormat="1" x14ac:dyDescent="0.25">
      <c r="A354" s="1" t="str">
        <f>T("   ZZ_Total_Produit_SH6")</f>
        <v xml:space="preserve">   ZZ_Total_Produit_SH6</v>
      </c>
      <c r="B354" s="1" t="str">
        <f>T("   ZZ_Total_Produit_SH6")</f>
        <v xml:space="preserve">   ZZ_Total_Produit_SH6</v>
      </c>
      <c r="C354" s="1">
        <v>2000</v>
      </c>
      <c r="D354" s="1">
        <v>2000000</v>
      </c>
    </row>
    <row r="355" spans="1:4" s="1" customFormat="1" x14ac:dyDescent="0.25">
      <c r="B355" s="1" t="str">
        <f>T("Chypre")</f>
        <v>Chypre</v>
      </c>
    </row>
    <row r="356" spans="1:4" x14ac:dyDescent="0.25">
      <c r="A356" t="str">
        <f>T("   843139")</f>
        <v xml:space="preserve">   843139</v>
      </c>
      <c r="B356" t="str">
        <f>T("   AUTRES")</f>
        <v xml:space="preserve">   AUTRES</v>
      </c>
      <c r="C356">
        <v>20</v>
      </c>
      <c r="D356">
        <v>139064</v>
      </c>
    </row>
    <row r="357" spans="1:4" s="1" customFormat="1" x14ac:dyDescent="0.25">
      <c r="A357" s="1" t="str">
        <f>T("   ZZ_Total_Produit_SH6")</f>
        <v xml:space="preserve">   ZZ_Total_Produit_SH6</v>
      </c>
      <c r="B357" s="1" t="str">
        <f>T("   ZZ_Total_Produit_SH6")</f>
        <v xml:space="preserve">   ZZ_Total_Produit_SH6</v>
      </c>
      <c r="C357" s="1">
        <v>20</v>
      </c>
      <c r="D357" s="1">
        <v>139064</v>
      </c>
    </row>
    <row r="358" spans="1:4" s="1" customFormat="1" x14ac:dyDescent="0.25">
      <c r="B358" s="1" t="str">
        <f>T("Allemagne")</f>
        <v>Allemagne</v>
      </c>
    </row>
    <row r="359" spans="1:4" x14ac:dyDescent="0.25">
      <c r="A359" t="str">
        <f>T("   490199")</f>
        <v xml:space="preserve">   490199</v>
      </c>
      <c r="B359" t="str">
        <f>T("   AUTRES")</f>
        <v xml:space="preserve">   AUTRES</v>
      </c>
      <c r="C359">
        <v>50</v>
      </c>
      <c r="D359">
        <v>150000</v>
      </c>
    </row>
    <row r="360" spans="1:4" x14ac:dyDescent="0.25">
      <c r="A360" t="str">
        <f>T("   491110")</f>
        <v xml:space="preserve">   491110</v>
      </c>
      <c r="B360" t="str">
        <f>T("   IMPRIMES PUBLICITAIRES, CATALOGUES COMMERCIAUX ET SIMILAIRES")</f>
        <v xml:space="preserve">   IMPRIMES PUBLICITAIRES, CATALOGUES COMMERCIAUX ET SIMILAIRES</v>
      </c>
      <c r="C360">
        <v>3.4</v>
      </c>
      <c r="D360">
        <v>116813</v>
      </c>
    </row>
    <row r="361" spans="1:4" x14ac:dyDescent="0.25">
      <c r="A361" t="str">
        <f>T("   520100")</f>
        <v xml:space="preserve">   520100</v>
      </c>
      <c r="B361" t="str">
        <f>T("   COTON, NON CARDE NI PEIGNE.")</f>
        <v xml:space="preserve">   COTON, NON CARDE NI PEIGNE.</v>
      </c>
      <c r="C361">
        <v>576102</v>
      </c>
      <c r="D361">
        <v>390877951</v>
      </c>
    </row>
    <row r="362" spans="1:4" x14ac:dyDescent="0.25">
      <c r="A362" t="str">
        <f>T("   620329")</f>
        <v xml:space="preserve">   620329</v>
      </c>
      <c r="B362" t="str">
        <f>T("   D'AUTRES MATIERES TEXTILES")</f>
        <v xml:space="preserve">   D'AUTRES MATIERES TEXTILES</v>
      </c>
      <c r="C362">
        <v>10</v>
      </c>
      <c r="D362">
        <v>500000</v>
      </c>
    </row>
    <row r="363" spans="1:4" x14ac:dyDescent="0.25">
      <c r="A363" t="str">
        <f>T("   620349")</f>
        <v xml:space="preserve">   620349</v>
      </c>
      <c r="B363" t="str">
        <f>T("   D'AUTRES MATIERES TEXTILES")</f>
        <v xml:space="preserve">   D'AUTRES MATIERES TEXTILES</v>
      </c>
      <c r="C363">
        <v>211</v>
      </c>
      <c r="D363">
        <v>500000</v>
      </c>
    </row>
    <row r="364" spans="1:4" x14ac:dyDescent="0.25">
      <c r="A364" t="str">
        <f>T("   620590")</f>
        <v xml:space="preserve">   620590</v>
      </c>
      <c r="B364" t="str">
        <f>T("   D'AUTRES MATIERES TEXTILES")</f>
        <v xml:space="preserve">   D'AUTRES MATIERES TEXTILES</v>
      </c>
      <c r="C364">
        <v>1750</v>
      </c>
      <c r="D364">
        <v>1700000</v>
      </c>
    </row>
    <row r="365" spans="1:4" x14ac:dyDescent="0.25">
      <c r="A365" t="str">
        <f>T("   691090")</f>
        <v xml:space="preserve">   691090</v>
      </c>
      <c r="B365" t="str">
        <f>T("   AUTRES")</f>
        <v xml:space="preserve">   AUTRES</v>
      </c>
      <c r="C365">
        <v>6390</v>
      </c>
      <c r="D365">
        <v>24216731</v>
      </c>
    </row>
    <row r="366" spans="1:4" x14ac:dyDescent="0.25">
      <c r="A366" t="str">
        <f>T("   730799")</f>
        <v xml:space="preserve">   730799</v>
      </c>
      <c r="B366" t="str">
        <f>T("   AUTRES")</f>
        <v xml:space="preserve">   AUTRES</v>
      </c>
      <c r="C366">
        <v>2.4</v>
      </c>
      <c r="D366">
        <v>20794860</v>
      </c>
    </row>
    <row r="367" spans="1:4" x14ac:dyDescent="0.25">
      <c r="A367" t="str">
        <f>T("   730840")</f>
        <v xml:space="preserve">   730840</v>
      </c>
      <c r="B367" t="str">
        <f>T("   MATERIEL D'ECHAFAUDAGE, DE COFFRAGE, D'ETANCONNEMENT OU D'ETAYAGE")</f>
        <v xml:space="preserve">   MATERIEL D'ECHAFAUDAGE, DE COFFRAGE, D'ETANCONNEMENT OU D'ETAYAGE</v>
      </c>
      <c r="C367">
        <v>44360</v>
      </c>
      <c r="D367">
        <v>120089222</v>
      </c>
    </row>
    <row r="368" spans="1:4" x14ac:dyDescent="0.25">
      <c r="A368" t="str">
        <f>T("   732394")</f>
        <v xml:space="preserve">   732394</v>
      </c>
      <c r="B368" t="str">
        <f>T("   EN FER OU EN ACIER, EMAILLES")</f>
        <v xml:space="preserve">   EN FER OU EN ACIER, EMAILLES</v>
      </c>
      <c r="C368">
        <v>900</v>
      </c>
      <c r="D368">
        <v>800000</v>
      </c>
    </row>
    <row r="369" spans="1:4" x14ac:dyDescent="0.25">
      <c r="A369" t="str">
        <f>T("   841490")</f>
        <v xml:space="preserve">   841490</v>
      </c>
      <c r="B369" t="str">
        <f>T("   PARTIES")</f>
        <v xml:space="preserve">   PARTIES</v>
      </c>
      <c r="C369">
        <v>14.1</v>
      </c>
      <c r="D369">
        <v>5247680</v>
      </c>
    </row>
    <row r="370" spans="1:4" x14ac:dyDescent="0.25">
      <c r="A370" t="str">
        <f>T("   842940")</f>
        <v xml:space="preserve">   842940</v>
      </c>
      <c r="B370" t="str">
        <f>T("   COMPACTEUSES ET ROULEAUX COMPRESSEURS")</f>
        <v xml:space="preserve">   COMPACTEUSES ET ROULEAUX COMPRESSEURS</v>
      </c>
      <c r="C370">
        <v>6460</v>
      </c>
      <c r="D370">
        <v>8930075</v>
      </c>
    </row>
    <row r="371" spans="1:4" x14ac:dyDescent="0.25">
      <c r="A371" t="str">
        <f>T("   842951")</f>
        <v xml:space="preserve">   842951</v>
      </c>
      <c r="B371" t="str">
        <f>T("   CHARGEUSES ET CHARGEUSESPELLETEUSES A CHARGEMENT FRONTAL")</f>
        <v xml:space="preserve">   CHARGEUSES ET CHARGEUSESPELLETEUSES A CHARGEMENT FRONTAL</v>
      </c>
      <c r="C371">
        <v>6500</v>
      </c>
      <c r="D371">
        <v>18270126</v>
      </c>
    </row>
    <row r="372" spans="1:4" x14ac:dyDescent="0.25">
      <c r="A372" t="str">
        <f>T("   843120")</f>
        <v xml:space="preserve">   843120</v>
      </c>
      <c r="B372" t="str">
        <f>T("   DE MACHINES OU APPAREILS DU N° 84.27")</f>
        <v xml:space="preserve">   DE MACHINES OU APPAREILS DU N° 84.27</v>
      </c>
      <c r="C372">
        <v>37070</v>
      </c>
      <c r="D372">
        <v>53885180</v>
      </c>
    </row>
    <row r="373" spans="1:4" x14ac:dyDescent="0.25">
      <c r="A373" t="str">
        <f>T("   843139")</f>
        <v xml:space="preserve">   843139</v>
      </c>
      <c r="B373" t="str">
        <f>T("   AUTRES")</f>
        <v xml:space="preserve">   AUTRES</v>
      </c>
      <c r="C373">
        <v>10</v>
      </c>
      <c r="D373">
        <v>187933</v>
      </c>
    </row>
    <row r="374" spans="1:4" x14ac:dyDescent="0.25">
      <c r="A374" t="str">
        <f>T("   843143")</f>
        <v xml:space="preserve">   843143</v>
      </c>
      <c r="B374" t="str">
        <f>T("   PARTIES DE MACHINES DE SONDAGE OU DE FORAGE DES N°S 8430.41 OU 8430.49")</f>
        <v xml:space="preserve">   PARTIES DE MACHINES DE SONDAGE OU DE FORAGE DES N°S 8430.41 OU 8430.49</v>
      </c>
      <c r="C374">
        <v>90.2</v>
      </c>
      <c r="D374">
        <v>6536484</v>
      </c>
    </row>
    <row r="375" spans="1:4" x14ac:dyDescent="0.25">
      <c r="A375" t="str">
        <f>T("   843149")</f>
        <v xml:space="preserve">   843149</v>
      </c>
      <c r="B375" t="str">
        <f>T("   AUTRES")</f>
        <v xml:space="preserve">   AUTRES</v>
      </c>
      <c r="C375">
        <v>16490</v>
      </c>
      <c r="D375">
        <v>22589834</v>
      </c>
    </row>
    <row r="376" spans="1:4" x14ac:dyDescent="0.25">
      <c r="A376" t="str">
        <f>T("   845180")</f>
        <v xml:space="preserve">   845180</v>
      </c>
      <c r="B376" t="str">
        <f>T("   AUTRES MACHINES ET APPAREILS")</f>
        <v xml:space="preserve">   AUTRES MACHINES ET APPAREILS</v>
      </c>
      <c r="C376">
        <v>6540</v>
      </c>
      <c r="D376">
        <v>60969514</v>
      </c>
    </row>
    <row r="377" spans="1:4" x14ac:dyDescent="0.25">
      <c r="A377" t="str">
        <f>T("   847989")</f>
        <v xml:space="preserve">   847989</v>
      </c>
      <c r="B377" t="str">
        <f>T("   AUTRES")</f>
        <v xml:space="preserve">   AUTRES</v>
      </c>
      <c r="C377">
        <v>510</v>
      </c>
      <c r="D377">
        <v>2708244</v>
      </c>
    </row>
    <row r="378" spans="1:4" x14ac:dyDescent="0.25">
      <c r="A378" t="str">
        <f>T("   848190")</f>
        <v xml:space="preserve">   848190</v>
      </c>
      <c r="B378" t="str">
        <f>T("   PARTIES")</f>
        <v xml:space="preserve">   PARTIES</v>
      </c>
      <c r="C378">
        <v>1.4</v>
      </c>
      <c r="D378">
        <v>390480</v>
      </c>
    </row>
    <row r="379" spans="1:4" x14ac:dyDescent="0.25">
      <c r="A379" t="str">
        <f>T("   852691")</f>
        <v xml:space="preserve">   852691</v>
      </c>
      <c r="B379" t="str">
        <f>T("   Appareils de radionavigation")</f>
        <v xml:space="preserve">   Appareils de radionavigation</v>
      </c>
      <c r="C379">
        <v>16</v>
      </c>
      <c r="D379">
        <v>327980</v>
      </c>
    </row>
    <row r="380" spans="1:4" x14ac:dyDescent="0.25">
      <c r="A380" t="str">
        <f>T("   870322")</f>
        <v xml:space="preserve">   870322</v>
      </c>
      <c r="B380" t="str">
        <f>T("   D’UNE CYLINDREE EXCEDANT 1.000 CM³ MAIS N’EXCEDANT PAS 1.500 CM³")</f>
        <v xml:space="preserve">   D’UNE CYLINDREE EXCEDANT 1.000 CM³ MAIS N’EXCEDANT PAS 1.500 CM³</v>
      </c>
      <c r="C380">
        <v>7490</v>
      </c>
      <c r="D380">
        <v>2850000</v>
      </c>
    </row>
    <row r="381" spans="1:4" x14ac:dyDescent="0.25">
      <c r="A381" t="str">
        <f>T("   870421")</f>
        <v xml:space="preserve">   870421</v>
      </c>
      <c r="B381" t="str">
        <f>T("   D'UN POIDS EN CHARGE MAXIMAL N'EXCEDANT PAS 5 TONNES")</f>
        <v xml:space="preserve">   D'UN POIDS EN CHARGE MAXIMAL N'EXCEDANT PAS 5 TONNES</v>
      </c>
      <c r="C381">
        <v>1160</v>
      </c>
      <c r="D381">
        <v>1200000</v>
      </c>
    </row>
    <row r="382" spans="1:4" x14ac:dyDescent="0.25">
      <c r="A382" t="str">
        <f>T("   940350")</f>
        <v xml:space="preserve">   940350</v>
      </c>
      <c r="B382" t="str">
        <f>T("   MEUBLES EN BOIS DES TYPES UTILISES DANS LES CHAMBRES A COUCHER")</f>
        <v xml:space="preserve">   MEUBLES EN BOIS DES TYPES UTILISES DANS LES CHAMBRES A COUCHER</v>
      </c>
      <c r="C382">
        <v>5300</v>
      </c>
      <c r="D382">
        <v>3350000</v>
      </c>
    </row>
    <row r="383" spans="1:4" x14ac:dyDescent="0.25">
      <c r="A383" t="str">
        <f>T("   940360")</f>
        <v xml:space="preserve">   940360</v>
      </c>
      <c r="B383" t="str">
        <f>T("   Autres meubles en bois")</f>
        <v xml:space="preserve">   Autres meubles en bois</v>
      </c>
      <c r="C383">
        <v>3048</v>
      </c>
      <c r="D383">
        <v>1912000</v>
      </c>
    </row>
    <row r="384" spans="1:4" x14ac:dyDescent="0.25">
      <c r="A384" t="str">
        <f>T("   940389")</f>
        <v xml:space="preserve">   940389</v>
      </c>
      <c r="B384" t="str">
        <f>T("   AUTRES")</f>
        <v xml:space="preserve">   AUTRES</v>
      </c>
      <c r="C384">
        <v>10000</v>
      </c>
      <c r="D384">
        <v>500000</v>
      </c>
    </row>
    <row r="385" spans="1:4" s="1" customFormat="1" x14ac:dyDescent="0.25">
      <c r="A385" s="1" t="str">
        <f>T("   ZZ_Total_Produit_SH6")</f>
        <v xml:space="preserve">   ZZ_Total_Produit_SH6</v>
      </c>
      <c r="B385" s="1" t="str">
        <f>T("   ZZ_Total_Produit_SH6")</f>
        <v xml:space="preserve">   ZZ_Total_Produit_SH6</v>
      </c>
      <c r="C385" s="1">
        <v>730478.5</v>
      </c>
      <c r="D385" s="1">
        <v>749601107</v>
      </c>
    </row>
    <row r="386" spans="1:4" s="1" customFormat="1" x14ac:dyDescent="0.25">
      <c r="B386" s="1" t="str">
        <f>T("Djibouti")</f>
        <v>Djibouti</v>
      </c>
    </row>
    <row r="387" spans="1:4" x14ac:dyDescent="0.25">
      <c r="A387" t="str">
        <f>T("   842620")</f>
        <v xml:space="preserve">   842620</v>
      </c>
      <c r="B387" t="str">
        <f>T("   Grues a tour")</f>
        <v xml:space="preserve">   Grues a tour</v>
      </c>
      <c r="C387">
        <v>67249</v>
      </c>
      <c r="D387">
        <v>63815210</v>
      </c>
    </row>
    <row r="388" spans="1:4" x14ac:dyDescent="0.25">
      <c r="A388" t="str">
        <f>T("   850212")</f>
        <v xml:space="preserve">   850212</v>
      </c>
      <c r="B388" t="str">
        <f>T("   D'UNE PUISSANCE EXCEDANT 75 KVA MAIS N'EXCEDANT PAS 375 KVA")</f>
        <v xml:space="preserve">   D'UNE PUISSANCE EXCEDANT 75 KVA MAIS N'EXCEDANT PAS 375 KVA</v>
      </c>
      <c r="C388">
        <v>6654</v>
      </c>
      <c r="D388">
        <v>5801385</v>
      </c>
    </row>
    <row r="389" spans="1:4" x14ac:dyDescent="0.25">
      <c r="A389" t="str">
        <f>T("   870322")</f>
        <v xml:space="preserve">   870322</v>
      </c>
      <c r="B389" t="str">
        <f>T("   D’UNE CYLINDREE EXCEDANT 1.000 CM³ MAIS N’EXCEDANT PAS 1.500 CM³")</f>
        <v xml:space="preserve">   D’UNE CYLINDREE EXCEDANT 1.000 CM³ MAIS N’EXCEDANT PAS 1.500 CM³</v>
      </c>
      <c r="C389">
        <v>1850</v>
      </c>
      <c r="D389">
        <v>2000000</v>
      </c>
    </row>
    <row r="390" spans="1:4" s="1" customFormat="1" x14ac:dyDescent="0.25">
      <c r="A390" s="1" t="str">
        <f>T("   ZZ_Total_Produit_SH6")</f>
        <v xml:space="preserve">   ZZ_Total_Produit_SH6</v>
      </c>
      <c r="B390" s="1" t="str">
        <f>T("   ZZ_Total_Produit_SH6")</f>
        <v xml:space="preserve">   ZZ_Total_Produit_SH6</v>
      </c>
      <c r="C390" s="1">
        <v>75753</v>
      </c>
      <c r="D390" s="1">
        <v>71616595</v>
      </c>
    </row>
    <row r="391" spans="1:4" s="1" customFormat="1" x14ac:dyDescent="0.25">
      <c r="B391" s="1" t="str">
        <f>T("Danemark")</f>
        <v>Danemark</v>
      </c>
    </row>
    <row r="392" spans="1:4" x14ac:dyDescent="0.25">
      <c r="A392" t="str">
        <f>T("   080211")</f>
        <v xml:space="preserve">   080211</v>
      </c>
      <c r="B392" t="str">
        <f>T("   EN COQUES")</f>
        <v xml:space="preserve">   EN COQUES</v>
      </c>
      <c r="C392">
        <v>39055000</v>
      </c>
      <c r="D392">
        <v>9180652170</v>
      </c>
    </row>
    <row r="393" spans="1:4" x14ac:dyDescent="0.25">
      <c r="A393" t="str">
        <f>T("   490199")</f>
        <v xml:space="preserve">   490199</v>
      </c>
      <c r="B393" t="str">
        <f>T("   AUTRES")</f>
        <v xml:space="preserve">   AUTRES</v>
      </c>
      <c r="C393">
        <v>3000</v>
      </c>
      <c r="D393">
        <v>2500000</v>
      </c>
    </row>
    <row r="394" spans="1:4" x14ac:dyDescent="0.25">
      <c r="A394" t="str">
        <f>T("   491110")</f>
        <v xml:space="preserve">   491110</v>
      </c>
      <c r="B394" t="str">
        <f>T("   IMPRIMES PUBLICITAIRES, CATALOGUES COMMERCIAUX ET SIMILAIRES")</f>
        <v xml:space="preserve">   IMPRIMES PUBLICITAIRES, CATALOGUES COMMERCIAUX ET SIMILAIRES</v>
      </c>
      <c r="C394">
        <v>1602.5</v>
      </c>
      <c r="D394">
        <v>734278</v>
      </c>
    </row>
    <row r="395" spans="1:4" x14ac:dyDescent="0.25">
      <c r="A395" t="str">
        <f>T("   630720")</f>
        <v xml:space="preserve">   630720</v>
      </c>
      <c r="B395" t="str">
        <f>T("   CEINTURES ET GILETS DE SAUVETAGE")</f>
        <v xml:space="preserve">   CEINTURES ET GILETS DE SAUVETAGE</v>
      </c>
      <c r="C395">
        <v>2</v>
      </c>
      <c r="D395">
        <v>92609</v>
      </c>
    </row>
    <row r="396" spans="1:4" x14ac:dyDescent="0.25">
      <c r="A396" t="str">
        <f>T("   840999")</f>
        <v xml:space="preserve">   840999</v>
      </c>
      <c r="B396" t="str">
        <f>T("   AUTRES")</f>
        <v xml:space="preserve">   AUTRES</v>
      </c>
      <c r="C396">
        <v>17</v>
      </c>
      <c r="D396">
        <v>1980093</v>
      </c>
    </row>
    <row r="397" spans="1:4" x14ac:dyDescent="0.25">
      <c r="A397" t="str">
        <f>T("   843120")</f>
        <v xml:space="preserve">   843120</v>
      </c>
      <c r="B397" t="str">
        <f>T("   DE MACHINES OU APPAREILS DU N° 84.27")</f>
        <v xml:space="preserve">   DE MACHINES OU APPAREILS DU N° 84.27</v>
      </c>
      <c r="C397">
        <v>1</v>
      </c>
      <c r="D397">
        <v>422754</v>
      </c>
    </row>
    <row r="398" spans="1:4" x14ac:dyDescent="0.25">
      <c r="A398" t="str">
        <f>T("   843139")</f>
        <v xml:space="preserve">   843139</v>
      </c>
      <c r="B398" t="str">
        <f>T("   AUTRES")</f>
        <v xml:space="preserve">   AUTRES</v>
      </c>
      <c r="C398">
        <v>271.3</v>
      </c>
      <c r="D398">
        <v>11787877</v>
      </c>
    </row>
    <row r="399" spans="1:4" x14ac:dyDescent="0.25">
      <c r="A399" t="str">
        <f>T("   847340")</f>
        <v xml:space="preserve">   847340</v>
      </c>
      <c r="B399" t="str">
        <f>T("   PARTIES ET ACCESSOIRES DES MACHINES DU N° 84.72")</f>
        <v xml:space="preserve">   PARTIES ET ACCESSOIRES DES MACHINES DU N° 84.72</v>
      </c>
      <c r="C399">
        <v>12</v>
      </c>
      <c r="D399">
        <v>3723537</v>
      </c>
    </row>
    <row r="400" spans="1:4" x14ac:dyDescent="0.25">
      <c r="A400" t="str">
        <f>T("   850140")</f>
        <v xml:space="preserve">   850140</v>
      </c>
      <c r="B400" t="str">
        <f>T("   AUTRES MOTEURS A COURANT ALTERNATIF, MONOPHASES")</f>
        <v xml:space="preserve">   AUTRES MOTEURS A COURANT ALTERNATIF, MONOPHASES</v>
      </c>
      <c r="C400">
        <v>17.5</v>
      </c>
      <c r="D400">
        <v>267863</v>
      </c>
    </row>
    <row r="401" spans="1:4" x14ac:dyDescent="0.25">
      <c r="A401" t="str">
        <f>T("   870322")</f>
        <v xml:space="preserve">   870322</v>
      </c>
      <c r="B401" t="str">
        <f>T("   D’UNE CYLINDREE EXCEDANT 1.000 CM³ MAIS N’EXCEDANT PAS 1.500 CM³")</f>
        <v xml:space="preserve">   D’UNE CYLINDREE EXCEDANT 1.000 CM³ MAIS N’EXCEDANT PAS 1.500 CM³</v>
      </c>
      <c r="C401">
        <v>1200</v>
      </c>
      <c r="D401">
        <v>2000000</v>
      </c>
    </row>
    <row r="402" spans="1:4" x14ac:dyDescent="0.25">
      <c r="A402" t="str">
        <f>T("   940350")</f>
        <v xml:space="preserve">   940350</v>
      </c>
      <c r="B402" t="str">
        <f>T("   MEUBLES EN BOIS DES TYPES UTILISES DANS LES CHAMBRES A COUCHER")</f>
        <v xml:space="preserve">   MEUBLES EN BOIS DES TYPES UTILISES DANS LES CHAMBRES A COUCHER</v>
      </c>
      <c r="C402">
        <v>2400</v>
      </c>
      <c r="D402">
        <v>2500000</v>
      </c>
    </row>
    <row r="403" spans="1:4" s="1" customFormat="1" x14ac:dyDescent="0.25">
      <c r="A403" s="1" t="str">
        <f>T("   ZZ_Total_Produit_SH6")</f>
        <v xml:space="preserve">   ZZ_Total_Produit_SH6</v>
      </c>
      <c r="B403" s="1" t="str">
        <f>T("   ZZ_Total_Produit_SH6")</f>
        <v xml:space="preserve">   ZZ_Total_Produit_SH6</v>
      </c>
      <c r="C403" s="1">
        <v>39063523.299999997</v>
      </c>
      <c r="D403" s="1">
        <v>9206661181</v>
      </c>
    </row>
    <row r="404" spans="1:4" s="1" customFormat="1" x14ac:dyDescent="0.25">
      <c r="B404" s="1" t="str">
        <f>T("Equateur")</f>
        <v>Equateur</v>
      </c>
    </row>
    <row r="405" spans="1:4" x14ac:dyDescent="0.25">
      <c r="A405" t="str">
        <f>T("   121230")</f>
        <v xml:space="preserve">   121230</v>
      </c>
      <c r="B405" t="str">
        <f>T("   NOYAUX,AMANDES D'ABRICOTS,PECHES,PRUNES,DESTINES A L'ALIMENTATION HUMAINE")</f>
        <v xml:space="preserve">   NOYAUX,AMANDES D'ABRICOTS,PECHES,PRUNES,DESTINES A L'ALIMENTATION HUMAINE</v>
      </c>
      <c r="C405">
        <v>25</v>
      </c>
      <c r="D405">
        <v>20000</v>
      </c>
    </row>
    <row r="406" spans="1:4" s="1" customFormat="1" x14ac:dyDescent="0.25">
      <c r="A406" s="1" t="str">
        <f>T("   ZZ_Total_Produit_SH6")</f>
        <v xml:space="preserve">   ZZ_Total_Produit_SH6</v>
      </c>
      <c r="B406" s="1" t="str">
        <f>T("   ZZ_Total_Produit_SH6")</f>
        <v xml:space="preserve">   ZZ_Total_Produit_SH6</v>
      </c>
      <c r="C406" s="1">
        <v>25</v>
      </c>
      <c r="D406" s="1">
        <v>20000</v>
      </c>
    </row>
    <row r="407" spans="1:4" s="1" customFormat="1" x14ac:dyDescent="0.25">
      <c r="B407" s="1" t="str">
        <f>T("Egypte")</f>
        <v>Egypte</v>
      </c>
    </row>
    <row r="408" spans="1:4" x14ac:dyDescent="0.25">
      <c r="A408" t="str">
        <f>T("   091010")</f>
        <v xml:space="preserve">   091010</v>
      </c>
      <c r="B408" t="str">
        <f>T("   Gingembre")</f>
        <v xml:space="preserve">   Gingembre</v>
      </c>
      <c r="C408">
        <v>18000</v>
      </c>
      <c r="D408">
        <v>3600000</v>
      </c>
    </row>
    <row r="409" spans="1:4" x14ac:dyDescent="0.25">
      <c r="A409" t="str">
        <f>T("   520100")</f>
        <v xml:space="preserve">   520100</v>
      </c>
      <c r="B409" t="str">
        <f>T("   COTON, NON CARDE NI PEIGNE.")</f>
        <v xml:space="preserve">   COTON, NON CARDE NI PEIGNE.</v>
      </c>
      <c r="C409">
        <v>3016123</v>
      </c>
      <c r="D409">
        <v>2589363428</v>
      </c>
    </row>
    <row r="410" spans="1:4" x14ac:dyDescent="0.25">
      <c r="A410" t="str">
        <f>T("   730411")</f>
        <v xml:space="preserve">   730411</v>
      </c>
      <c r="B410" t="str">
        <f>T("   EN ACIERS INOXYDABLES")</f>
        <v xml:space="preserve">   EN ACIERS INOXYDABLES</v>
      </c>
      <c r="C410">
        <v>986</v>
      </c>
      <c r="D410">
        <v>17838852</v>
      </c>
    </row>
    <row r="411" spans="1:4" x14ac:dyDescent="0.25">
      <c r="A411" t="str">
        <f>T("   820790")</f>
        <v xml:space="preserve">   820790</v>
      </c>
      <c r="B411" t="str">
        <f>T("   AUTRES OUTILS INTERCHANGEABLES")</f>
        <v xml:space="preserve">   AUTRES OUTILS INTERCHANGEABLES</v>
      </c>
      <c r="C411">
        <v>104000</v>
      </c>
      <c r="D411">
        <v>48549500</v>
      </c>
    </row>
    <row r="412" spans="1:4" x14ac:dyDescent="0.25">
      <c r="A412" t="str">
        <f>T("   842630")</f>
        <v xml:space="preserve">   842630</v>
      </c>
      <c r="B412" t="str">
        <f>T("   GRUES SUR PORTIQUES")</f>
        <v xml:space="preserve">   GRUES SUR PORTIQUES</v>
      </c>
      <c r="C412">
        <v>25000</v>
      </c>
      <c r="D412">
        <v>25000000</v>
      </c>
    </row>
    <row r="413" spans="1:4" s="1" customFormat="1" x14ac:dyDescent="0.25">
      <c r="A413" s="1" t="str">
        <f>T("   ZZ_Total_Produit_SH6")</f>
        <v xml:space="preserve">   ZZ_Total_Produit_SH6</v>
      </c>
      <c r="B413" s="1" t="str">
        <f>T("   ZZ_Total_Produit_SH6")</f>
        <v xml:space="preserve">   ZZ_Total_Produit_SH6</v>
      </c>
      <c r="C413" s="1">
        <v>3164109</v>
      </c>
      <c r="D413" s="1">
        <v>2684351780</v>
      </c>
    </row>
    <row r="414" spans="1:4" s="1" customFormat="1" x14ac:dyDescent="0.25">
      <c r="B414" s="1" t="str">
        <f>T("Espagne")</f>
        <v>Espagne</v>
      </c>
    </row>
    <row r="415" spans="1:4" x14ac:dyDescent="0.25">
      <c r="A415" t="str">
        <f>T("   040510")</f>
        <v xml:space="preserve">   040510</v>
      </c>
      <c r="B415" t="str">
        <f>T("   BEURRE")</f>
        <v xml:space="preserve">   BEURRE</v>
      </c>
      <c r="C415">
        <v>186251</v>
      </c>
      <c r="D415">
        <v>131496285</v>
      </c>
    </row>
    <row r="416" spans="1:4" x14ac:dyDescent="0.25">
      <c r="A416" t="str">
        <f>T("   120799")</f>
        <v xml:space="preserve">   120799</v>
      </c>
      <c r="B416" t="str">
        <f>T("   AUTRES")</f>
        <v xml:space="preserve">   AUTRES</v>
      </c>
      <c r="C416">
        <v>646000</v>
      </c>
      <c r="D416">
        <v>146200000</v>
      </c>
    </row>
    <row r="417" spans="1:4" x14ac:dyDescent="0.25">
      <c r="A417" t="str">
        <f>T("   121299")</f>
        <v xml:space="preserve">   121299</v>
      </c>
      <c r="B417" t="str">
        <f>T("   AUTRES")</f>
        <v xml:space="preserve">   AUTRES</v>
      </c>
      <c r="C417">
        <v>117800</v>
      </c>
      <c r="D417">
        <v>17662500</v>
      </c>
    </row>
    <row r="418" spans="1:4" x14ac:dyDescent="0.25">
      <c r="A418" t="str">
        <f>T("   440799")</f>
        <v xml:space="preserve">   440799</v>
      </c>
      <c r="B418" t="str">
        <f>T("   AUTRES")</f>
        <v xml:space="preserve">   AUTRES</v>
      </c>
      <c r="C418">
        <v>12230</v>
      </c>
      <c r="D418">
        <v>25000000</v>
      </c>
    </row>
    <row r="419" spans="1:4" x14ac:dyDescent="0.25">
      <c r="A419" t="str">
        <f>T("   460290")</f>
        <v xml:space="preserve">   460290</v>
      </c>
      <c r="B419" t="str">
        <f>T("   AUTRES")</f>
        <v xml:space="preserve">   AUTRES</v>
      </c>
      <c r="C419">
        <v>2500</v>
      </c>
      <c r="D419">
        <v>16163590</v>
      </c>
    </row>
    <row r="420" spans="1:4" x14ac:dyDescent="0.25">
      <c r="A420" t="str">
        <f>T("   481920")</f>
        <v xml:space="preserve">   481920</v>
      </c>
      <c r="B420" t="str">
        <f>T("   BOITES ET CARTONNAGES, PLIANTS, EN PAPIER OU CARTON NON ONDULE")</f>
        <v xml:space="preserve">   BOITES ET CARTONNAGES, PLIANTS, EN PAPIER OU CARTON NON ONDULE</v>
      </c>
      <c r="C420">
        <v>12682</v>
      </c>
      <c r="D420">
        <v>15818873</v>
      </c>
    </row>
    <row r="421" spans="1:4" x14ac:dyDescent="0.25">
      <c r="A421" t="str">
        <f>T("   520100")</f>
        <v xml:space="preserve">   520100</v>
      </c>
      <c r="B421" t="str">
        <f>T("   COTON, NON CARDE NI PEIGNE.")</f>
        <v xml:space="preserve">   COTON, NON CARDE NI PEIGNE.</v>
      </c>
      <c r="C421">
        <v>438818</v>
      </c>
      <c r="D421">
        <v>409404866</v>
      </c>
    </row>
    <row r="422" spans="1:4" x14ac:dyDescent="0.25">
      <c r="A422" t="str">
        <f>T("   520419")</f>
        <v xml:space="preserve">   520419</v>
      </c>
      <c r="B422" t="str">
        <f>T("   AUTRES")</f>
        <v xml:space="preserve">   AUTRES</v>
      </c>
      <c r="C422">
        <v>241598</v>
      </c>
      <c r="D422">
        <v>150664658</v>
      </c>
    </row>
    <row r="423" spans="1:4" x14ac:dyDescent="0.25">
      <c r="A423" t="str">
        <f>T("   621030")</f>
        <v xml:space="preserve">   621030</v>
      </c>
      <c r="B423" t="str">
        <f>T("   AUTRES VETEMENTS, DES TYPES VISES DANS LES N°S 6202.11 A 6202.19")</f>
        <v xml:space="preserve">   AUTRES VETEMENTS, DES TYPES VISES DANS LES N°S 6202.11 A 6202.19</v>
      </c>
      <c r="C423">
        <v>2861</v>
      </c>
      <c r="D423">
        <v>38045680</v>
      </c>
    </row>
    <row r="424" spans="1:4" x14ac:dyDescent="0.25">
      <c r="A424" t="str">
        <f>T("   720429")</f>
        <v xml:space="preserve">   720429</v>
      </c>
      <c r="B424" t="str">
        <f>T("   AUTRES")</f>
        <v xml:space="preserve">   AUTRES</v>
      </c>
      <c r="C424">
        <v>90000</v>
      </c>
      <c r="D424">
        <v>4500000</v>
      </c>
    </row>
    <row r="425" spans="1:4" x14ac:dyDescent="0.25">
      <c r="A425" t="str">
        <f>T("   720430")</f>
        <v xml:space="preserve">   720430</v>
      </c>
      <c r="B425" t="str">
        <f>T("   Dechets et debris de fer ou d'acier etames")</f>
        <v xml:space="preserve">   Dechets et debris de fer ou d'acier etames</v>
      </c>
      <c r="C425">
        <v>10000</v>
      </c>
      <c r="D425">
        <v>500000</v>
      </c>
    </row>
    <row r="426" spans="1:4" x14ac:dyDescent="0.25">
      <c r="A426" t="str">
        <f>T("   720449")</f>
        <v xml:space="preserve">   720449</v>
      </c>
      <c r="B426" t="str">
        <f>T("   AUTRES")</f>
        <v xml:space="preserve">   AUTRES</v>
      </c>
      <c r="C426">
        <v>20000</v>
      </c>
      <c r="D426">
        <v>1000000</v>
      </c>
    </row>
    <row r="427" spans="1:4" x14ac:dyDescent="0.25">
      <c r="A427" t="str">
        <f>T("   730490")</f>
        <v xml:space="preserve">   730490</v>
      </c>
      <c r="B427" t="str">
        <f>T("   AUTRES")</f>
        <v xml:space="preserve">   AUTRES</v>
      </c>
      <c r="C427">
        <v>3220</v>
      </c>
      <c r="D427">
        <v>19986494</v>
      </c>
    </row>
    <row r="428" spans="1:4" x14ac:dyDescent="0.25">
      <c r="A428" t="str">
        <f>T("   850239")</f>
        <v xml:space="preserve">   850239</v>
      </c>
      <c r="B428" t="str">
        <f>T("   AUTRES")</f>
        <v xml:space="preserve">   AUTRES</v>
      </c>
      <c r="C428">
        <v>5044</v>
      </c>
      <c r="D428">
        <v>25003884</v>
      </c>
    </row>
    <row r="429" spans="1:4" x14ac:dyDescent="0.25">
      <c r="A429" t="str">
        <f>T("   870323")</f>
        <v xml:space="preserve">   870323</v>
      </c>
      <c r="B429" t="str">
        <f>T("   D’UNE CYLINDREE EXCEDANT 1.500 CM³ MAIS N’EXCEDANT PAS 3.000 CM³")</f>
        <v xml:space="preserve">   D’UNE CYLINDREE EXCEDANT 1.500 CM³ MAIS N’EXCEDANT PAS 3.000 CM³</v>
      </c>
      <c r="C429">
        <v>1845</v>
      </c>
      <c r="D429">
        <v>20000000</v>
      </c>
    </row>
    <row r="430" spans="1:4" x14ac:dyDescent="0.25">
      <c r="A430" t="str">
        <f>T("   940389")</f>
        <v xml:space="preserve">   940389</v>
      </c>
      <c r="B430" t="str">
        <f>T("   AUTRES")</f>
        <v xml:space="preserve">   AUTRES</v>
      </c>
      <c r="C430">
        <v>10000</v>
      </c>
      <c r="D430">
        <v>500000</v>
      </c>
    </row>
    <row r="431" spans="1:4" s="1" customFormat="1" x14ac:dyDescent="0.25">
      <c r="A431" s="1" t="str">
        <f>T("   ZZ_Total_Produit_SH6")</f>
        <v xml:space="preserve">   ZZ_Total_Produit_SH6</v>
      </c>
      <c r="B431" s="1" t="str">
        <f>T("   ZZ_Total_Produit_SH6")</f>
        <v xml:space="preserve">   ZZ_Total_Produit_SH6</v>
      </c>
      <c r="C431" s="1">
        <v>1800849</v>
      </c>
      <c r="D431" s="1">
        <v>1021946830</v>
      </c>
    </row>
    <row r="432" spans="1:4" s="1" customFormat="1" x14ac:dyDescent="0.25">
      <c r="B432" s="1" t="str">
        <f>T("Ethiopie")</f>
        <v>Ethiopie</v>
      </c>
    </row>
    <row r="433" spans="1:4" x14ac:dyDescent="0.25">
      <c r="A433" t="str">
        <f>T("   490199")</f>
        <v xml:space="preserve">   490199</v>
      </c>
      <c r="B433" t="str">
        <f>T("   AUTRES")</f>
        <v xml:space="preserve">   AUTRES</v>
      </c>
      <c r="C433">
        <v>2000</v>
      </c>
      <c r="D433">
        <v>2000000</v>
      </c>
    </row>
    <row r="434" spans="1:4" s="1" customFormat="1" x14ac:dyDescent="0.25">
      <c r="A434" s="1" t="str">
        <f>T("   ZZ_Total_Produit_SH6")</f>
        <v xml:space="preserve">   ZZ_Total_Produit_SH6</v>
      </c>
      <c r="B434" s="1" t="str">
        <f>T("   ZZ_Total_Produit_SH6")</f>
        <v xml:space="preserve">   ZZ_Total_Produit_SH6</v>
      </c>
      <c r="C434" s="1">
        <v>2000</v>
      </c>
      <c r="D434" s="1">
        <v>2000000</v>
      </c>
    </row>
    <row r="435" spans="1:4" s="1" customFormat="1" x14ac:dyDescent="0.25">
      <c r="B435" s="1" t="str">
        <f>T("Fiji")</f>
        <v>Fiji</v>
      </c>
    </row>
    <row r="436" spans="1:4" x14ac:dyDescent="0.25">
      <c r="A436" t="str">
        <f>T("   620590")</f>
        <v xml:space="preserve">   620590</v>
      </c>
      <c r="B436" t="str">
        <f>T("   D'AUTRES MATIERES TEXTILES")</f>
        <v xml:space="preserve">   D'AUTRES MATIERES TEXTILES</v>
      </c>
      <c r="C436">
        <v>1300</v>
      </c>
      <c r="D436">
        <v>900000</v>
      </c>
    </row>
    <row r="437" spans="1:4" x14ac:dyDescent="0.25">
      <c r="A437" t="str">
        <f>T("   732394")</f>
        <v xml:space="preserve">   732394</v>
      </c>
      <c r="B437" t="str">
        <f>T("   EN FER OU EN ACIER, EMAILLES")</f>
        <v xml:space="preserve">   EN FER OU EN ACIER, EMAILLES</v>
      </c>
      <c r="C437">
        <v>600</v>
      </c>
      <c r="D437">
        <v>500000</v>
      </c>
    </row>
    <row r="438" spans="1:4" x14ac:dyDescent="0.25">
      <c r="A438" t="str">
        <f>T("   950300")</f>
        <v xml:space="preserve">   950300</v>
      </c>
      <c r="B438" t="str">
        <f>T("   TRICYCLES, TROTTINETTES, AUTOS A PEDALES ET JOUETS A ROUES SIMILAIRES; LANDAUS ET POUSS")</f>
        <v xml:space="preserve">   TRICYCLES, TROTTINETTES, AUTOS A PEDALES ET JOUETS A ROUES SIMILAIRES; LANDAUS ET POUSS</v>
      </c>
      <c r="C438">
        <v>100</v>
      </c>
      <c r="D438">
        <v>100000</v>
      </c>
    </row>
    <row r="439" spans="1:4" s="1" customFormat="1" x14ac:dyDescent="0.25">
      <c r="A439" s="1" t="str">
        <f>T("   ZZ_Total_Produit_SH6")</f>
        <v xml:space="preserve">   ZZ_Total_Produit_SH6</v>
      </c>
      <c r="B439" s="1" t="str">
        <f>T("   ZZ_Total_Produit_SH6")</f>
        <v xml:space="preserve">   ZZ_Total_Produit_SH6</v>
      </c>
      <c r="C439" s="1">
        <v>2000</v>
      </c>
      <c r="D439" s="1">
        <v>1500000</v>
      </c>
    </row>
    <row r="440" spans="1:4" s="1" customFormat="1" x14ac:dyDescent="0.25">
      <c r="B440" s="1" t="str">
        <f>T("Falkland, îles (Malvinas)")</f>
        <v>Falkland, îles (Malvinas)</v>
      </c>
    </row>
    <row r="441" spans="1:4" x14ac:dyDescent="0.25">
      <c r="A441" t="str">
        <f>T("   970190")</f>
        <v xml:space="preserve">   970190</v>
      </c>
      <c r="B441" t="str">
        <f>T("   AUTRES")</f>
        <v xml:space="preserve">   AUTRES</v>
      </c>
      <c r="C441">
        <v>315</v>
      </c>
      <c r="D441">
        <v>600000</v>
      </c>
    </row>
    <row r="442" spans="1:4" s="1" customFormat="1" x14ac:dyDescent="0.25">
      <c r="A442" s="1" t="str">
        <f>T("   ZZ_Total_Produit_SH6")</f>
        <v xml:space="preserve">   ZZ_Total_Produit_SH6</v>
      </c>
      <c r="B442" s="1" t="str">
        <f>T("   ZZ_Total_Produit_SH6")</f>
        <v xml:space="preserve">   ZZ_Total_Produit_SH6</v>
      </c>
      <c r="C442" s="1">
        <v>315</v>
      </c>
      <c r="D442" s="1">
        <v>600000</v>
      </c>
    </row>
    <row r="443" spans="1:4" s="1" customFormat="1" x14ac:dyDescent="0.25">
      <c r="B443" s="1" t="str">
        <f>T("France")</f>
        <v>France</v>
      </c>
    </row>
    <row r="444" spans="1:4" x14ac:dyDescent="0.25">
      <c r="A444" t="str">
        <f>T("   030530")</f>
        <v xml:space="preserve">   030530</v>
      </c>
      <c r="B444" t="str">
        <f>T("   FILETS DE POISSONS SALES,SECHES OU EN SAUMURE, MAIS NON FUMES")</f>
        <v xml:space="preserve">   FILETS DE POISSONS SALES,SECHES OU EN SAUMURE, MAIS NON FUMES</v>
      </c>
      <c r="C444">
        <v>164</v>
      </c>
      <c r="D444">
        <v>461960</v>
      </c>
    </row>
    <row r="445" spans="1:4" x14ac:dyDescent="0.25">
      <c r="A445" t="str">
        <f>T("   030549")</f>
        <v xml:space="preserve">   030549</v>
      </c>
      <c r="B445" t="str">
        <f>T("   AUTRES")</f>
        <v xml:space="preserve">   AUTRES</v>
      </c>
      <c r="C445">
        <v>222.46</v>
      </c>
      <c r="D445">
        <v>857280</v>
      </c>
    </row>
    <row r="446" spans="1:4" x14ac:dyDescent="0.25">
      <c r="A446" t="str">
        <f>T("   030611")</f>
        <v xml:space="preserve">   030611</v>
      </c>
      <c r="B446" t="str">
        <f>T("   LANGOUSTES (PALINURUS SPP., PANULIRUS SPP., JASUS SPP.)")</f>
        <v xml:space="preserve">   LANGOUSTES (PALINURUS SPP., PANULIRUS SPP., JASUS SPP.)</v>
      </c>
      <c r="C446">
        <v>330</v>
      </c>
      <c r="D446">
        <v>132000</v>
      </c>
    </row>
    <row r="447" spans="1:4" x14ac:dyDescent="0.25">
      <c r="A447" t="str">
        <f>T("   040310")</f>
        <v xml:space="preserve">   040310</v>
      </c>
      <c r="B447" t="str">
        <f>T("   YOGHOURT")</f>
        <v xml:space="preserve">   YOGHOURT</v>
      </c>
      <c r="C447">
        <v>71</v>
      </c>
      <c r="D447">
        <v>160665</v>
      </c>
    </row>
    <row r="448" spans="1:4" x14ac:dyDescent="0.25">
      <c r="A448" t="str">
        <f>T("   040510")</f>
        <v xml:space="preserve">   040510</v>
      </c>
      <c r="B448" t="str">
        <f>T("   BEURRE")</f>
        <v xml:space="preserve">   BEURRE</v>
      </c>
      <c r="C448">
        <v>137.87</v>
      </c>
      <c r="D448">
        <v>386287</v>
      </c>
    </row>
    <row r="449" spans="1:4" x14ac:dyDescent="0.25">
      <c r="A449" t="str">
        <f>T("   040610")</f>
        <v xml:space="preserve">   040610</v>
      </c>
      <c r="B449" t="str">
        <f>T("   FROMAGES FRAIS (NON AFFINES), Y COMPRIS LE FROMAGE DE LACTOSERUM, ET CAILLEBOTTE")</f>
        <v xml:space="preserve">   FROMAGES FRAIS (NON AFFINES), Y COMPRIS LE FROMAGE DE LACTOSERUM, ET CAILLEBOTTE</v>
      </c>
      <c r="C449">
        <v>31</v>
      </c>
      <c r="D449">
        <v>150451</v>
      </c>
    </row>
    <row r="450" spans="1:4" x14ac:dyDescent="0.25">
      <c r="A450" t="str">
        <f>T("   040690")</f>
        <v xml:space="preserve">   040690</v>
      </c>
      <c r="B450" t="str">
        <f>T("   AUTRES FROMAGES")</f>
        <v xml:space="preserve">   AUTRES FROMAGES</v>
      </c>
      <c r="C450">
        <v>464.67</v>
      </c>
      <c r="D450">
        <v>1370606</v>
      </c>
    </row>
    <row r="451" spans="1:4" x14ac:dyDescent="0.25">
      <c r="A451" t="str">
        <f>T("   080290")</f>
        <v xml:space="preserve">   080290</v>
      </c>
      <c r="B451" t="str">
        <f>T("   AUTRES")</f>
        <v xml:space="preserve">   AUTRES</v>
      </c>
      <c r="C451">
        <v>102</v>
      </c>
      <c r="D451">
        <v>53500</v>
      </c>
    </row>
    <row r="452" spans="1:4" x14ac:dyDescent="0.25">
      <c r="A452" t="str">
        <f>T("   080430")</f>
        <v xml:space="preserve">   080430</v>
      </c>
      <c r="B452" t="str">
        <f>T("   ANANAS")</f>
        <v xml:space="preserve">   ANANAS</v>
      </c>
      <c r="C452">
        <v>807634</v>
      </c>
      <c r="D452">
        <v>72174617</v>
      </c>
    </row>
    <row r="453" spans="1:4" x14ac:dyDescent="0.25">
      <c r="A453" t="str">
        <f>T("   110290")</f>
        <v xml:space="preserve">   110290</v>
      </c>
      <c r="B453" t="str">
        <f>T("   AUTRES")</f>
        <v xml:space="preserve">   AUTRES</v>
      </c>
      <c r="C453">
        <v>5000</v>
      </c>
      <c r="D453">
        <v>1000000</v>
      </c>
    </row>
    <row r="454" spans="1:4" x14ac:dyDescent="0.25">
      <c r="A454" t="str">
        <f>T("   110311")</f>
        <v xml:space="preserve">   110311</v>
      </c>
      <c r="B454" t="str">
        <f>T("   DE FROMENT (BLE)")</f>
        <v xml:space="preserve">   DE FROMENT (BLE)</v>
      </c>
      <c r="C454">
        <v>470000</v>
      </c>
      <c r="D454">
        <v>138587030</v>
      </c>
    </row>
    <row r="455" spans="1:4" x14ac:dyDescent="0.25">
      <c r="A455" t="str">
        <f>T("   110620")</f>
        <v xml:space="preserve">   110620</v>
      </c>
      <c r="B455" t="str">
        <f>T("   DE SAGOU OU DES RACINES OU TUBERCULES DU N° 07.14")</f>
        <v xml:space="preserve">   DE SAGOU OU DES RACINES OU TUBERCULES DU N° 07.14</v>
      </c>
      <c r="C455">
        <v>138580</v>
      </c>
      <c r="D455">
        <v>23658199</v>
      </c>
    </row>
    <row r="456" spans="1:4" x14ac:dyDescent="0.25">
      <c r="A456" t="str">
        <f>T("   120210")</f>
        <v xml:space="preserve">   120210</v>
      </c>
      <c r="B456" t="str">
        <f>T("   ARACHIDES,NON GRILLEES,EN COQUES")</f>
        <v xml:space="preserve">   ARACHIDES,NON GRILLEES,EN COQUES</v>
      </c>
      <c r="C456">
        <v>6000</v>
      </c>
      <c r="D456">
        <v>3877085</v>
      </c>
    </row>
    <row r="457" spans="1:4" x14ac:dyDescent="0.25">
      <c r="A457" t="str">
        <f>T("   120890")</f>
        <v xml:space="preserve">   120890</v>
      </c>
      <c r="B457" t="str">
        <f>T("   AUTRES")</f>
        <v xml:space="preserve">   AUTRES</v>
      </c>
      <c r="C457">
        <v>4119</v>
      </c>
      <c r="D457">
        <v>2509000</v>
      </c>
    </row>
    <row r="458" spans="1:4" x14ac:dyDescent="0.25">
      <c r="A458" t="str">
        <f>T("   140490")</f>
        <v xml:space="preserve">   140490</v>
      </c>
      <c r="B458" t="str">
        <f>T("   AUTRES")</f>
        <v xml:space="preserve">   AUTRES</v>
      </c>
      <c r="C458">
        <v>5000</v>
      </c>
      <c r="D458">
        <v>739129</v>
      </c>
    </row>
    <row r="459" spans="1:4" x14ac:dyDescent="0.25">
      <c r="A459" t="str">
        <f>T("   151590")</f>
        <v xml:space="preserve">   151590</v>
      </c>
      <c r="B459" t="str">
        <f>T("   AUTRES")</f>
        <v xml:space="preserve">   AUTRES</v>
      </c>
      <c r="C459">
        <v>7722</v>
      </c>
      <c r="D459">
        <v>11784582</v>
      </c>
    </row>
    <row r="460" spans="1:4" x14ac:dyDescent="0.25">
      <c r="A460" t="str">
        <f>T("   151790")</f>
        <v xml:space="preserve">   151790</v>
      </c>
      <c r="B460" t="str">
        <f>T("   AUTRES")</f>
        <v xml:space="preserve">   AUTRES</v>
      </c>
      <c r="C460">
        <v>65</v>
      </c>
      <c r="D460">
        <v>30000</v>
      </c>
    </row>
    <row r="461" spans="1:4" x14ac:dyDescent="0.25">
      <c r="A461" t="str">
        <f>T("   160220")</f>
        <v xml:space="preserve">   160220</v>
      </c>
      <c r="B461" t="str">
        <f>T("   DE FOIES DE TOUS ANIMAUX")</f>
        <v xml:space="preserve">   DE FOIES DE TOUS ANIMAUX</v>
      </c>
      <c r="C461">
        <v>27</v>
      </c>
      <c r="D461">
        <v>154807</v>
      </c>
    </row>
    <row r="462" spans="1:4" x14ac:dyDescent="0.25">
      <c r="A462" t="str">
        <f>T("   160239")</f>
        <v xml:space="preserve">   160239</v>
      </c>
      <c r="B462" t="str">
        <f>T("   AUTRES")</f>
        <v xml:space="preserve">   AUTRES</v>
      </c>
      <c r="C462">
        <v>38</v>
      </c>
      <c r="D462">
        <v>143196</v>
      </c>
    </row>
    <row r="463" spans="1:4" x14ac:dyDescent="0.25">
      <c r="A463" t="str">
        <f>T("   190230")</f>
        <v xml:space="preserve">   190230</v>
      </c>
      <c r="B463" t="str">
        <f>T("   AUTRES PATES ALIMENTAIRES")</f>
        <v xml:space="preserve">   AUTRES PATES ALIMENTAIRES</v>
      </c>
      <c r="C463">
        <v>600000</v>
      </c>
      <c r="D463">
        <v>135000000</v>
      </c>
    </row>
    <row r="464" spans="1:4" x14ac:dyDescent="0.25">
      <c r="A464" t="str">
        <f>T("   380891")</f>
        <v xml:space="preserve">   380891</v>
      </c>
      <c r="B464" t="str">
        <f>T("   INSECTICIDES")</f>
        <v xml:space="preserve">   INSECTICIDES</v>
      </c>
      <c r="C464">
        <v>172195</v>
      </c>
      <c r="D464">
        <v>852748</v>
      </c>
    </row>
    <row r="465" spans="1:4" x14ac:dyDescent="0.25">
      <c r="A465" t="str">
        <f>T("   392020")</f>
        <v xml:space="preserve">   392020</v>
      </c>
      <c r="B465" t="str">
        <f>T("   EN POLYMERES DU PROPYLENE")</f>
        <v xml:space="preserve">   EN POLYMERES DU PROPYLENE</v>
      </c>
      <c r="C465">
        <v>5220</v>
      </c>
      <c r="D465">
        <v>9880586</v>
      </c>
    </row>
    <row r="466" spans="1:4" x14ac:dyDescent="0.25">
      <c r="A466" t="str">
        <f>T("   392410")</f>
        <v xml:space="preserve">   392410</v>
      </c>
      <c r="B466" t="str">
        <f>T("   VAISSELLE ET AUTRES ARTICLES POUR LE SERVICE DE LA TABLE OU DE LA CUISINE")</f>
        <v xml:space="preserve">   VAISSELLE ET AUTRES ARTICLES POUR LE SERVICE DE LA TABLE OU DE LA CUISINE</v>
      </c>
      <c r="C466">
        <v>10</v>
      </c>
      <c r="D466">
        <v>36944</v>
      </c>
    </row>
    <row r="467" spans="1:4" x14ac:dyDescent="0.25">
      <c r="A467" t="str">
        <f>T("   392490")</f>
        <v xml:space="preserve">   392490</v>
      </c>
      <c r="B467" t="str">
        <f>T("   AUTRES")</f>
        <v xml:space="preserve">   AUTRES</v>
      </c>
      <c r="C467">
        <v>842</v>
      </c>
      <c r="D467">
        <v>6123675</v>
      </c>
    </row>
    <row r="468" spans="1:4" x14ac:dyDescent="0.25">
      <c r="A468" t="str">
        <f>T("   401162")</f>
        <v xml:space="preserve">   401162</v>
      </c>
      <c r="B468" t="str">
        <f>T("   DES TYPES UTILISES POUR LES VEHICULES ET ENGINS DE GENIE CIVIL ET DE MANUTENTION IND")</f>
        <v xml:space="preserve">   DES TYPES UTILISES POUR LES VEHICULES ET ENGINS DE GENIE CIVIL ET DE MANUTENTION IND</v>
      </c>
      <c r="C468">
        <v>8000</v>
      </c>
      <c r="D468">
        <v>11380906</v>
      </c>
    </row>
    <row r="469" spans="1:4" x14ac:dyDescent="0.25">
      <c r="A469" t="str">
        <f>T("   440729")</f>
        <v xml:space="preserve">   440729</v>
      </c>
      <c r="B469" t="str">
        <f>T("   AUTRES")</f>
        <v xml:space="preserve">   AUTRES</v>
      </c>
      <c r="C469">
        <v>40000</v>
      </c>
      <c r="D469">
        <v>121177007</v>
      </c>
    </row>
    <row r="470" spans="1:4" x14ac:dyDescent="0.25">
      <c r="A470" t="str">
        <f>T("   481920")</f>
        <v xml:space="preserve">   481920</v>
      </c>
      <c r="B470" t="str">
        <f>T("   BOITES ET CARTONNAGES, PLIANTS, EN PAPIER OU CARTON NON ONDULE")</f>
        <v xml:space="preserve">   BOITES ET CARTONNAGES, PLIANTS, EN PAPIER OU CARTON NON ONDULE</v>
      </c>
      <c r="C470">
        <v>45260</v>
      </c>
      <c r="D470">
        <v>8940000</v>
      </c>
    </row>
    <row r="471" spans="1:4" x14ac:dyDescent="0.25">
      <c r="A471" t="str">
        <f>T("   481940")</f>
        <v xml:space="preserve">   481940</v>
      </c>
      <c r="B471" t="str">
        <f>T("   AUTRES SACS; SACHETS, POCHETTES (AUTRES QUE CELLES POUR DISQUES) ET CORNETS")</f>
        <v xml:space="preserve">   AUTRES SACS; SACHETS, POCHETTES (AUTRES QUE CELLES POUR DISQUES) ET CORNETS</v>
      </c>
      <c r="C471">
        <v>716.3</v>
      </c>
      <c r="D471">
        <v>1862190</v>
      </c>
    </row>
    <row r="472" spans="1:4" x14ac:dyDescent="0.25">
      <c r="A472" t="str">
        <f>T("   481960")</f>
        <v xml:space="preserve">   481960</v>
      </c>
      <c r="B472" t="str">
        <f>T("   CARTONNAGES DE BUREAU, DE MAGASIN OU SIMILAIRES")</f>
        <v xml:space="preserve">   CARTONNAGES DE BUREAU, DE MAGASIN OU SIMILAIRES</v>
      </c>
      <c r="C472">
        <v>2975</v>
      </c>
      <c r="D472">
        <v>2460433</v>
      </c>
    </row>
    <row r="473" spans="1:4" x14ac:dyDescent="0.25">
      <c r="A473" t="str">
        <f>T("   490199")</f>
        <v xml:space="preserve">   490199</v>
      </c>
      <c r="B473" t="str">
        <f>T("   AUTRES")</f>
        <v xml:space="preserve">   AUTRES</v>
      </c>
      <c r="C473">
        <v>315</v>
      </c>
      <c r="D473">
        <v>758254</v>
      </c>
    </row>
    <row r="474" spans="1:4" x14ac:dyDescent="0.25">
      <c r="A474" t="str">
        <f>T("   520100")</f>
        <v xml:space="preserve">   520100</v>
      </c>
      <c r="B474" t="str">
        <f>T("   COTON, NON CARDE NI PEIGNE.")</f>
        <v xml:space="preserve">   COTON, NON CARDE NI PEIGNE.</v>
      </c>
      <c r="C474">
        <v>1632760</v>
      </c>
      <c r="D474">
        <v>1142696117</v>
      </c>
    </row>
    <row r="475" spans="1:4" x14ac:dyDescent="0.25">
      <c r="A475" t="str">
        <f>T("   560749")</f>
        <v xml:space="preserve">   560749</v>
      </c>
      <c r="B475" t="str">
        <f>T("   AUTRES")</f>
        <v xml:space="preserve">   AUTRES</v>
      </c>
      <c r="C475">
        <v>16705</v>
      </c>
      <c r="D475">
        <v>16399</v>
      </c>
    </row>
    <row r="476" spans="1:4" x14ac:dyDescent="0.25">
      <c r="A476" t="str">
        <f>T("   611190")</f>
        <v xml:space="preserve">   611190</v>
      </c>
      <c r="B476" t="str">
        <f>T("   D'AUTRES MATIERES TEXTILES")</f>
        <v xml:space="preserve">   D'AUTRES MATIERES TEXTILES</v>
      </c>
      <c r="C476">
        <v>175</v>
      </c>
      <c r="D476">
        <v>1971000</v>
      </c>
    </row>
    <row r="477" spans="1:4" x14ac:dyDescent="0.25">
      <c r="A477" t="str">
        <f>T("   611300")</f>
        <v xml:space="preserve">   611300</v>
      </c>
      <c r="B477" t="str">
        <f>T("   VETEMENTS CONFECTIONNES EN ETOFFES DE BONNETERIE DES N°S 59.03, 59.06 OU 59.07.")</f>
        <v xml:space="preserve">   VETEMENTS CONFECTIONNES EN ETOFFES DE BONNETERIE DES N°S 59.03, 59.06 OU 59.07.</v>
      </c>
      <c r="C477">
        <v>424</v>
      </c>
      <c r="D477">
        <v>3279800</v>
      </c>
    </row>
    <row r="478" spans="1:4" x14ac:dyDescent="0.25">
      <c r="A478" t="str">
        <f>T("   611780")</f>
        <v xml:space="preserve">   611780</v>
      </c>
      <c r="B478" t="str">
        <f>T("   AUTRES ACCESSOIRES")</f>
        <v xml:space="preserve">   AUTRES ACCESSOIRES</v>
      </c>
      <c r="C478">
        <v>6500</v>
      </c>
      <c r="D478">
        <v>5894779</v>
      </c>
    </row>
    <row r="479" spans="1:4" x14ac:dyDescent="0.25">
      <c r="A479" t="str">
        <f>T("   620590")</f>
        <v xml:space="preserve">   620590</v>
      </c>
      <c r="B479" t="str">
        <f>T("   D'AUTRES MATIERES TEXTILES")</f>
        <v xml:space="preserve">   D'AUTRES MATIERES TEXTILES</v>
      </c>
      <c r="C479">
        <v>3550</v>
      </c>
      <c r="D479">
        <v>3900000</v>
      </c>
    </row>
    <row r="480" spans="1:4" x14ac:dyDescent="0.25">
      <c r="A480" t="str">
        <f>T("   621020")</f>
        <v xml:space="preserve">   621020</v>
      </c>
      <c r="B480" t="str">
        <f>T("   AUTRES VETEMENTS, DES TYPES VISES DANS LES N°S 6201.11 A 6201.19")</f>
        <v xml:space="preserve">   AUTRES VETEMENTS, DES TYPES VISES DANS LES N°S 6201.11 A 6201.19</v>
      </c>
      <c r="C480">
        <v>105</v>
      </c>
      <c r="D480">
        <v>400500</v>
      </c>
    </row>
    <row r="481" spans="1:4" x14ac:dyDescent="0.25">
      <c r="A481" t="str">
        <f>T("   621040")</f>
        <v xml:space="preserve">   621040</v>
      </c>
      <c r="B481" t="str">
        <f>T("   AUTRES VETEMENTS POUR HOMMES OU GARCONNETS")</f>
        <v xml:space="preserve">   AUTRES VETEMENTS POUR HOMMES OU GARCONNETS</v>
      </c>
      <c r="C481">
        <v>79</v>
      </c>
      <c r="D481">
        <v>1082481</v>
      </c>
    </row>
    <row r="482" spans="1:4" x14ac:dyDescent="0.25">
      <c r="A482" t="str">
        <f>T("   630299")</f>
        <v xml:space="preserve">   630299</v>
      </c>
      <c r="B482" t="str">
        <f>T("   D'AUTRES MATIERES TEXTILES")</f>
        <v xml:space="preserve">   D'AUTRES MATIERES TEXTILES</v>
      </c>
      <c r="C482">
        <v>45</v>
      </c>
      <c r="D482">
        <v>365639</v>
      </c>
    </row>
    <row r="483" spans="1:4" x14ac:dyDescent="0.25">
      <c r="A483" t="str">
        <f>T("   630800")</f>
        <v xml:space="preserve">   630800</v>
      </c>
      <c r="B483" t="str">
        <f>T("   ASSORTIMENTS COMPOSES DE PIECES DE TISSUS ET DE FILS, MEME AVEC ACCESSOIRES, POUR LA CO")</f>
        <v xml:space="preserve">   ASSORTIMENTS COMPOSES DE PIECES DE TISSUS ET DE FILS, MEME AVEC ACCESSOIRES, POUR LA CO</v>
      </c>
      <c r="C483">
        <v>23</v>
      </c>
      <c r="D483">
        <v>75134</v>
      </c>
    </row>
    <row r="484" spans="1:4" x14ac:dyDescent="0.25">
      <c r="A484" t="str">
        <f>T("   680430")</f>
        <v xml:space="preserve">   680430</v>
      </c>
      <c r="B484" t="str">
        <f>T("   Pierres a aiguiser ou a polir a la main")</f>
        <v xml:space="preserve">   Pierres a aiguiser ou a polir a la main</v>
      </c>
      <c r="C484">
        <v>18000</v>
      </c>
      <c r="D484">
        <v>700000</v>
      </c>
    </row>
    <row r="485" spans="1:4" x14ac:dyDescent="0.25">
      <c r="A485" t="str">
        <f>T("   681019")</f>
        <v xml:space="preserve">   681019</v>
      </c>
      <c r="B485" t="str">
        <f>T("   AUTRES")</f>
        <v xml:space="preserve">   AUTRES</v>
      </c>
      <c r="C485">
        <v>100625</v>
      </c>
      <c r="D485">
        <v>8669400</v>
      </c>
    </row>
    <row r="486" spans="1:4" x14ac:dyDescent="0.25">
      <c r="A486" t="str">
        <f>T("   720429")</f>
        <v xml:space="preserve">   720429</v>
      </c>
      <c r="B486" t="str">
        <f>T("   AUTRES")</f>
        <v xml:space="preserve">   AUTRES</v>
      </c>
      <c r="C486">
        <v>20000</v>
      </c>
      <c r="D486">
        <v>1000000</v>
      </c>
    </row>
    <row r="487" spans="1:4" x14ac:dyDescent="0.25">
      <c r="A487" t="str">
        <f>T("   720449")</f>
        <v xml:space="preserve">   720449</v>
      </c>
      <c r="B487" t="str">
        <f>T("   AUTRES")</f>
        <v xml:space="preserve">   AUTRES</v>
      </c>
      <c r="C487">
        <v>20000</v>
      </c>
      <c r="D487">
        <v>141032</v>
      </c>
    </row>
    <row r="488" spans="1:4" x14ac:dyDescent="0.25">
      <c r="A488" t="str">
        <f>T("   730900")</f>
        <v xml:space="preserve">   730900</v>
      </c>
      <c r="B488" t="str">
        <f>T("   RESERVOIRS, FOUDRES, CUVES ET RECIPIENTS SIMILAIRES POUR TOUTES MATIERES (A L'EXCEPTION")</f>
        <v xml:space="preserve">   RESERVOIRS, FOUDRES, CUVES ET RECIPIENTS SIMILAIRES POUR TOUTES MATIERES (A L'EXCEPTION</v>
      </c>
      <c r="C488">
        <v>70040</v>
      </c>
      <c r="D488">
        <v>91134398</v>
      </c>
    </row>
    <row r="489" spans="1:4" x14ac:dyDescent="0.25">
      <c r="A489" t="str">
        <f>T("   732394")</f>
        <v xml:space="preserve">   732394</v>
      </c>
      <c r="B489" t="str">
        <f>T("   EN FER OU EN ACIER, EMAILLES")</f>
        <v xml:space="preserve">   EN FER OU EN ACIER, EMAILLES</v>
      </c>
      <c r="C489">
        <v>1000</v>
      </c>
      <c r="D489">
        <v>1350000</v>
      </c>
    </row>
    <row r="490" spans="1:4" x14ac:dyDescent="0.25">
      <c r="A490" t="str">
        <f>T("   732399")</f>
        <v xml:space="preserve">   732399</v>
      </c>
      <c r="B490" t="str">
        <f>T("   AUTRES")</f>
        <v xml:space="preserve">   AUTRES</v>
      </c>
      <c r="C490">
        <v>8000</v>
      </c>
      <c r="D490">
        <v>15100000</v>
      </c>
    </row>
    <row r="491" spans="1:4" x14ac:dyDescent="0.25">
      <c r="A491" t="str">
        <f>T("   732690")</f>
        <v xml:space="preserve">   732690</v>
      </c>
      <c r="B491" t="str">
        <f>T("   AUTRES")</f>
        <v xml:space="preserve">   AUTRES</v>
      </c>
      <c r="C491">
        <v>44484</v>
      </c>
      <c r="D491">
        <v>119734347</v>
      </c>
    </row>
    <row r="492" spans="1:4" x14ac:dyDescent="0.25">
      <c r="A492" t="str">
        <f>T("   761699")</f>
        <v xml:space="preserve">   761699</v>
      </c>
      <c r="B492" t="str">
        <f>T("   AUTRES")</f>
        <v xml:space="preserve">   AUTRES</v>
      </c>
      <c r="C492">
        <v>4</v>
      </c>
      <c r="D492">
        <v>36681</v>
      </c>
    </row>
    <row r="493" spans="1:4" x14ac:dyDescent="0.25">
      <c r="A493" t="str">
        <f>T("   820590")</f>
        <v xml:space="preserve">   820590</v>
      </c>
      <c r="B493" t="str">
        <f>T("   AUTRES, Y COMPRIS LES ASSORTIMENTS D'ARTICLES D'AU MOINS DEUX DES SOUSPOSITIONS DE L")</f>
        <v xml:space="preserve">   AUTRES, Y COMPRIS LES ASSORTIMENTS D'ARTICLES D'AU MOINS DEUX DES SOUSPOSITIONS DE L</v>
      </c>
      <c r="C493">
        <v>20</v>
      </c>
      <c r="D493">
        <v>1292040</v>
      </c>
    </row>
    <row r="494" spans="1:4" x14ac:dyDescent="0.25">
      <c r="A494" t="str">
        <f>T("   820790")</f>
        <v xml:space="preserve">   820790</v>
      </c>
      <c r="B494" t="str">
        <f>T("   AUTRES OUTILS INTERCHANGEABLES")</f>
        <v xml:space="preserve">   AUTRES OUTILS INTERCHANGEABLES</v>
      </c>
      <c r="C494">
        <v>1</v>
      </c>
      <c r="D494">
        <v>65596</v>
      </c>
    </row>
    <row r="495" spans="1:4" x14ac:dyDescent="0.25">
      <c r="A495" t="str">
        <f>T("   840999")</f>
        <v xml:space="preserve">   840999</v>
      </c>
      <c r="B495" t="str">
        <f>T("   AUTRES")</f>
        <v xml:space="preserve">   AUTRES</v>
      </c>
      <c r="C495">
        <v>138.30000000000001</v>
      </c>
      <c r="D495">
        <v>918340</v>
      </c>
    </row>
    <row r="496" spans="1:4" x14ac:dyDescent="0.25">
      <c r="A496" t="str">
        <f>T("   841459")</f>
        <v xml:space="preserve">   841459</v>
      </c>
      <c r="B496" t="str">
        <f>T("   AUTRES")</f>
        <v xml:space="preserve">   AUTRES</v>
      </c>
      <c r="C496">
        <v>72</v>
      </c>
      <c r="D496">
        <v>1046912</v>
      </c>
    </row>
    <row r="497" spans="1:4" x14ac:dyDescent="0.25">
      <c r="A497" t="str">
        <f>T("   842131")</f>
        <v xml:space="preserve">   842131</v>
      </c>
      <c r="B497" t="str">
        <f>T("   FILTRES D'ENTREE D'AIR POUR MOTEURS A ALLUMAGE PAR ETINCELLES OU PAR COMPRESSION")</f>
        <v xml:space="preserve">   FILTRES D'ENTREE D'AIR POUR MOTEURS A ALLUMAGE PAR ETINCELLES OU PAR COMPRESSION</v>
      </c>
      <c r="C497">
        <v>1</v>
      </c>
      <c r="D497">
        <v>431412</v>
      </c>
    </row>
    <row r="498" spans="1:4" x14ac:dyDescent="0.25">
      <c r="A498" t="str">
        <f>T("   842199")</f>
        <v xml:space="preserve">   842199</v>
      </c>
      <c r="B498" t="str">
        <f>T("   AUTRES")</f>
        <v xml:space="preserve">   AUTRES</v>
      </c>
      <c r="C498">
        <v>50</v>
      </c>
      <c r="D498">
        <v>593054</v>
      </c>
    </row>
    <row r="499" spans="1:4" x14ac:dyDescent="0.25">
      <c r="A499" t="str">
        <f>T("   842410")</f>
        <v xml:space="preserve">   842410</v>
      </c>
      <c r="B499" t="str">
        <f>T("   EXTINCTEURS, MEME CHARGES")</f>
        <v xml:space="preserve">   EXTINCTEURS, MEME CHARGES</v>
      </c>
      <c r="C499">
        <v>1</v>
      </c>
      <c r="D499">
        <v>4591720</v>
      </c>
    </row>
    <row r="500" spans="1:4" x14ac:dyDescent="0.25">
      <c r="A500" t="str">
        <f>T("   842549")</f>
        <v xml:space="preserve">   842549</v>
      </c>
      <c r="B500" t="str">
        <f>T("   AUTRES")</f>
        <v xml:space="preserve">   AUTRES</v>
      </c>
      <c r="C500">
        <v>12317</v>
      </c>
      <c r="D500">
        <v>3931327</v>
      </c>
    </row>
    <row r="501" spans="1:4" x14ac:dyDescent="0.25">
      <c r="A501" t="str">
        <f>T("   842620")</f>
        <v xml:space="preserve">   842620</v>
      </c>
      <c r="B501" t="str">
        <f>T("   Grues a tour")</f>
        <v xml:space="preserve">   Grues a tour</v>
      </c>
      <c r="C501">
        <v>130000</v>
      </c>
      <c r="D501">
        <v>1584160848</v>
      </c>
    </row>
    <row r="502" spans="1:4" x14ac:dyDescent="0.25">
      <c r="A502" t="str">
        <f>T("   842630")</f>
        <v xml:space="preserve">   842630</v>
      </c>
      <c r="B502" t="str">
        <f>T("   GRUES SUR PORTIQUES")</f>
        <v xml:space="preserve">   GRUES SUR PORTIQUES</v>
      </c>
      <c r="C502">
        <v>8300</v>
      </c>
      <c r="D502">
        <v>7871520</v>
      </c>
    </row>
    <row r="503" spans="1:4" x14ac:dyDescent="0.25">
      <c r="A503" t="str">
        <f>T("   842790")</f>
        <v xml:space="preserve">   842790</v>
      </c>
      <c r="B503" t="str">
        <f>T("   AUTRES CHARIOTS")</f>
        <v xml:space="preserve">   AUTRES CHARIOTS</v>
      </c>
      <c r="C503">
        <v>3000</v>
      </c>
      <c r="D503">
        <v>24257401</v>
      </c>
    </row>
    <row r="504" spans="1:4" x14ac:dyDescent="0.25">
      <c r="A504" t="str">
        <f>T("   842951")</f>
        <v xml:space="preserve">   842951</v>
      </c>
      <c r="B504" t="str">
        <f>T("   CHARGEUSES ET CHARGEUSESPELLETEUSES A CHARGEMENT FRONTAL")</f>
        <v xml:space="preserve">   CHARGEUSES ET CHARGEUSESPELLETEUSES A CHARGEMENT FRONTAL</v>
      </c>
      <c r="C504">
        <v>277500</v>
      </c>
      <c r="D504">
        <v>936575394</v>
      </c>
    </row>
    <row r="505" spans="1:4" x14ac:dyDescent="0.25">
      <c r="A505" t="str">
        <f>T("   842959")</f>
        <v xml:space="preserve">   842959</v>
      </c>
      <c r="B505" t="str">
        <f>T("   AUTRES")</f>
        <v xml:space="preserve">   AUTRES</v>
      </c>
      <c r="C505">
        <v>552000</v>
      </c>
      <c r="D505">
        <v>1402847128</v>
      </c>
    </row>
    <row r="506" spans="1:4" x14ac:dyDescent="0.25">
      <c r="A506" t="str">
        <f>T("   843069")</f>
        <v xml:space="preserve">   843069</v>
      </c>
      <c r="B506" t="str">
        <f>T("   AUTRES")</f>
        <v xml:space="preserve">   AUTRES</v>
      </c>
      <c r="C506">
        <v>177870</v>
      </c>
      <c r="D506">
        <v>61042440</v>
      </c>
    </row>
    <row r="507" spans="1:4" x14ac:dyDescent="0.25">
      <c r="A507" t="str">
        <f>T("   843120")</f>
        <v xml:space="preserve">   843120</v>
      </c>
      <c r="B507" t="str">
        <f>T("   DE MACHINES OU APPAREILS DU N° 84.27")</f>
        <v xml:space="preserve">   DE MACHINES OU APPAREILS DU N° 84.27</v>
      </c>
      <c r="C507">
        <v>18400</v>
      </c>
      <c r="D507">
        <v>2276181</v>
      </c>
    </row>
    <row r="508" spans="1:4" x14ac:dyDescent="0.25">
      <c r="A508" t="str">
        <f>T("   843139")</f>
        <v xml:space="preserve">   843139</v>
      </c>
      <c r="B508" t="str">
        <f>T("   AUTRES")</f>
        <v xml:space="preserve">   AUTRES</v>
      </c>
      <c r="C508">
        <v>18516</v>
      </c>
      <c r="D508">
        <v>45845470</v>
      </c>
    </row>
    <row r="509" spans="1:4" x14ac:dyDescent="0.25">
      <c r="A509" t="str">
        <f>T("   843141")</f>
        <v xml:space="preserve">   843141</v>
      </c>
      <c r="B509" t="str">
        <f>T("   GODETS, BENNES, BENNESPRENEUSES, PELLES, GRAPPINS ET PINCES")</f>
        <v xml:space="preserve">   GODETS, BENNES, BENNESPRENEUSES, PELLES, GRAPPINS ET PINCES</v>
      </c>
      <c r="C509">
        <v>262008</v>
      </c>
      <c r="D509">
        <v>758461724</v>
      </c>
    </row>
    <row r="510" spans="1:4" x14ac:dyDescent="0.25">
      <c r="A510" t="str">
        <f>T("   843143")</f>
        <v xml:space="preserve">   843143</v>
      </c>
      <c r="B510" t="str">
        <f>T("   PARTIES DE MACHINES DE SONDAGE OU DE FORAGE DES N°S 8430.41 OU 8430.49")</f>
        <v xml:space="preserve">   PARTIES DE MACHINES DE SONDAGE OU DE FORAGE DES N°S 8430.41 OU 8430.49</v>
      </c>
      <c r="C510">
        <v>44884</v>
      </c>
      <c r="D510">
        <v>297890738</v>
      </c>
    </row>
    <row r="511" spans="1:4" x14ac:dyDescent="0.25">
      <c r="A511" t="str">
        <f>T("   843149")</f>
        <v xml:space="preserve">   843149</v>
      </c>
      <c r="B511" t="str">
        <f>T("   AUTRES")</f>
        <v xml:space="preserve">   AUTRES</v>
      </c>
      <c r="C511">
        <v>353945</v>
      </c>
      <c r="D511">
        <v>1352167657</v>
      </c>
    </row>
    <row r="512" spans="1:4" x14ac:dyDescent="0.25">
      <c r="A512" t="str">
        <f>T("   847190")</f>
        <v xml:space="preserve">   847190</v>
      </c>
      <c r="B512" t="str">
        <f>T("   AUTRES")</f>
        <v xml:space="preserve">   AUTRES</v>
      </c>
      <c r="C512">
        <v>180</v>
      </c>
      <c r="D512">
        <v>102949642</v>
      </c>
    </row>
    <row r="513" spans="1:4" x14ac:dyDescent="0.25">
      <c r="A513" t="str">
        <f>T("   847290")</f>
        <v xml:space="preserve">   847290</v>
      </c>
      <c r="B513" t="str">
        <f>T("   AUTRES")</f>
        <v xml:space="preserve">   AUTRES</v>
      </c>
      <c r="C513">
        <v>13</v>
      </c>
      <c r="D513">
        <v>398317</v>
      </c>
    </row>
    <row r="514" spans="1:4" x14ac:dyDescent="0.25">
      <c r="A514" t="str">
        <f>T("   850211")</f>
        <v xml:space="preserve">   850211</v>
      </c>
      <c r="B514" t="str">
        <f>T("   D'UNE PUISSANCE N'EXCEDANT PAS 75 KVA")</f>
        <v xml:space="preserve">   D'UNE PUISSANCE N'EXCEDANT PAS 75 KVA</v>
      </c>
      <c r="C514">
        <v>25520</v>
      </c>
      <c r="D514">
        <v>124219433</v>
      </c>
    </row>
    <row r="515" spans="1:4" x14ac:dyDescent="0.25">
      <c r="A515" t="str">
        <f>T("   850980")</f>
        <v xml:space="preserve">   850980</v>
      </c>
      <c r="B515" t="str">
        <f>T("   AUTRES APPAREILS")</f>
        <v xml:space="preserve">   AUTRES APPAREILS</v>
      </c>
      <c r="C515">
        <v>44</v>
      </c>
      <c r="D515">
        <v>655960</v>
      </c>
    </row>
    <row r="516" spans="1:4" x14ac:dyDescent="0.25">
      <c r="A516" t="str">
        <f>T("   851660")</f>
        <v xml:space="preserve">   851660</v>
      </c>
      <c r="B516" t="str">
        <f>T("   AUTRES FOURS; CUISINIERES, RECHAUDS (Y COMPRIS LES TABLES DE CUISSON), GRILS ET ROTIS")</f>
        <v xml:space="preserve">   AUTRES FOURS; CUISINIERES, RECHAUDS (Y COMPRIS LES TABLES DE CUISSON), GRILS ET ROTIS</v>
      </c>
      <c r="C516">
        <v>365</v>
      </c>
      <c r="D516">
        <v>2722234</v>
      </c>
    </row>
    <row r="517" spans="1:4" x14ac:dyDescent="0.25">
      <c r="A517" t="str">
        <f>T("   852380")</f>
        <v xml:space="preserve">   852380</v>
      </c>
      <c r="B517" t="str">
        <f>T("   AUTRES")</f>
        <v xml:space="preserve">   AUTRES</v>
      </c>
      <c r="C517">
        <v>1</v>
      </c>
      <c r="D517">
        <v>7872</v>
      </c>
    </row>
    <row r="518" spans="1:4" x14ac:dyDescent="0.25">
      <c r="A518" t="str">
        <f>T("   852550")</f>
        <v xml:space="preserve">   852550</v>
      </c>
      <c r="B518" t="str">
        <f>T("   APPAREILS D'EMISSION")</f>
        <v xml:space="preserve">   APPAREILS D'EMISSION</v>
      </c>
      <c r="C518">
        <v>100.7</v>
      </c>
      <c r="D518">
        <v>1200000</v>
      </c>
    </row>
    <row r="519" spans="1:4" x14ac:dyDescent="0.25">
      <c r="A519" t="str">
        <f>T("   852910")</f>
        <v xml:space="preserve">   852910</v>
      </c>
      <c r="B519" t="str">
        <f>T("   ANTENNES ET REFLECTEURS D’ANTENNES DE TOUS TYPES; PARTIES RECONNAISSABLES COMME ETANT")</f>
        <v xml:space="preserve">   ANTENNES ET REFLECTEURS D’ANTENNES DE TOUS TYPES; PARTIES RECONNAISSABLES COMME ETANT</v>
      </c>
      <c r="C519">
        <v>1</v>
      </c>
      <c r="D519">
        <v>426374</v>
      </c>
    </row>
    <row r="520" spans="1:4" x14ac:dyDescent="0.25">
      <c r="A520" t="str">
        <f>T("   853510")</f>
        <v xml:space="preserve">   853510</v>
      </c>
      <c r="B520" t="str">
        <f>T("   FUSIBLES ET COUPECIRCUIT A FUSIBLES")</f>
        <v xml:space="preserve">   FUSIBLES ET COUPECIRCUIT A FUSIBLES</v>
      </c>
      <c r="C520">
        <v>2</v>
      </c>
      <c r="D520">
        <v>11347826</v>
      </c>
    </row>
    <row r="521" spans="1:4" x14ac:dyDescent="0.25">
      <c r="A521" t="str">
        <f>T("   853690")</f>
        <v xml:space="preserve">   853690</v>
      </c>
      <c r="B521" t="str">
        <f>T("   AUTRES APPAREILS")</f>
        <v xml:space="preserve">   AUTRES APPAREILS</v>
      </c>
      <c r="C521">
        <v>3</v>
      </c>
      <c r="D521">
        <v>2633679</v>
      </c>
    </row>
    <row r="522" spans="1:4" x14ac:dyDescent="0.25">
      <c r="A522" t="str">
        <f>T("   853890")</f>
        <v xml:space="preserve">   853890</v>
      </c>
      <c r="B522" t="str">
        <f>T("   AUTRES")</f>
        <v xml:space="preserve">   AUTRES</v>
      </c>
      <c r="C522">
        <v>23</v>
      </c>
      <c r="D522">
        <v>517316</v>
      </c>
    </row>
    <row r="523" spans="1:4" x14ac:dyDescent="0.25">
      <c r="A523" t="str">
        <f>T("   854370")</f>
        <v xml:space="preserve">   854370</v>
      </c>
      <c r="B523" t="str">
        <f>T("   AUTRES MACHINES ET APPAREILS")</f>
        <v xml:space="preserve">   AUTRES MACHINES ET APPAREILS</v>
      </c>
      <c r="C523">
        <v>3.75</v>
      </c>
      <c r="D523">
        <v>144311</v>
      </c>
    </row>
    <row r="524" spans="1:4" x14ac:dyDescent="0.25">
      <c r="A524" t="str">
        <f>T("   854442")</f>
        <v xml:space="preserve">   854442</v>
      </c>
      <c r="B524" t="str">
        <f>T("   MUNIS DE PIECES DE CONNEXION")</f>
        <v xml:space="preserve">   MUNIS DE PIECES DE CONNEXION</v>
      </c>
      <c r="C524">
        <v>1</v>
      </c>
      <c r="D524">
        <v>20991</v>
      </c>
    </row>
    <row r="525" spans="1:4" x14ac:dyDescent="0.25">
      <c r="A525" t="str">
        <f>T("   854890")</f>
        <v xml:space="preserve">   854890</v>
      </c>
      <c r="B525" t="str">
        <f>T("   AUTRES")</f>
        <v xml:space="preserve">   AUTRES</v>
      </c>
      <c r="C525">
        <v>11622</v>
      </c>
      <c r="D525">
        <v>164000</v>
      </c>
    </row>
    <row r="526" spans="1:4" x14ac:dyDescent="0.25">
      <c r="A526" t="str">
        <f>T("   860900")</f>
        <v xml:space="preserve">   860900</v>
      </c>
      <c r="B526" t="str">
        <f>T("   CADRES ET CONTENEURS (Y COMPRIS LES CONTENEURSCITERNES ET LES CONTENEURSRESERVOIRS) S")</f>
        <v xml:space="preserve">   CADRES ET CONTENEURS (Y COMPRIS LES CONTENEURSCITERNES ET LES CONTENEURSRESERVOIRS) S</v>
      </c>
      <c r="C526">
        <v>47200</v>
      </c>
      <c r="D526">
        <v>414830415</v>
      </c>
    </row>
    <row r="527" spans="1:4" x14ac:dyDescent="0.25">
      <c r="A527" t="str">
        <f>T("   870190")</f>
        <v xml:space="preserve">   870190</v>
      </c>
      <c r="B527" t="str">
        <f>T("   AUTRES")</f>
        <v xml:space="preserve">   AUTRES</v>
      </c>
      <c r="C527">
        <v>12400</v>
      </c>
      <c r="D527">
        <v>30489020</v>
      </c>
    </row>
    <row r="528" spans="1:4" x14ac:dyDescent="0.25">
      <c r="A528" t="str">
        <f>T("   870322")</f>
        <v xml:space="preserve">   870322</v>
      </c>
      <c r="B528" t="str">
        <f>T("   D’UNE CYLINDREE EXCEDANT 1.000 CM³ MAIS N’EXCEDANT PAS 1.500 CM³")</f>
        <v xml:space="preserve">   D’UNE CYLINDREE EXCEDANT 1.000 CM³ MAIS N’EXCEDANT PAS 1.500 CM³</v>
      </c>
      <c r="C528">
        <v>2075</v>
      </c>
      <c r="D528">
        <v>5000000</v>
      </c>
    </row>
    <row r="529" spans="1:4" x14ac:dyDescent="0.25">
      <c r="A529" t="str">
        <f>T("   870323")</f>
        <v xml:space="preserve">   870323</v>
      </c>
      <c r="B529" t="str">
        <f>T("   D’UNE CYLINDREE EXCEDANT 1.500 CM³ MAIS N’EXCEDANT PAS 3.000 CM³")</f>
        <v xml:space="preserve">   D’UNE CYLINDREE EXCEDANT 1.500 CM³ MAIS N’EXCEDANT PAS 3.000 CM³</v>
      </c>
      <c r="C529">
        <v>3030</v>
      </c>
      <c r="D529">
        <v>4314814</v>
      </c>
    </row>
    <row r="530" spans="1:4" x14ac:dyDescent="0.25">
      <c r="A530" t="str">
        <f>T("   870333")</f>
        <v xml:space="preserve">   870333</v>
      </c>
      <c r="B530" t="str">
        <f>T("   D'UNE CYLINDREE EXCEDANT 2.500 CM³")</f>
        <v xml:space="preserve">   D'UNE CYLINDREE EXCEDANT 2.500 CM³</v>
      </c>
      <c r="C530">
        <v>3000</v>
      </c>
      <c r="D530">
        <v>70955193</v>
      </c>
    </row>
    <row r="531" spans="1:4" x14ac:dyDescent="0.25">
      <c r="A531" t="str">
        <f>T("   870410")</f>
        <v xml:space="preserve">   870410</v>
      </c>
      <c r="B531" t="str">
        <f>T("   TOMBEREAUX AUTOMOTEURS CONCUS POUR ETRE UTILISES EN DEHORS DU RESEAU ROUTIER")</f>
        <v xml:space="preserve">   TOMBEREAUX AUTOMOTEURS CONCUS POUR ETRE UTILISES EN DEHORS DU RESEAU ROUTIER</v>
      </c>
      <c r="C531">
        <v>264800</v>
      </c>
      <c r="D531">
        <v>1497375112</v>
      </c>
    </row>
    <row r="532" spans="1:4" x14ac:dyDescent="0.25">
      <c r="A532" t="str">
        <f>T("   870423")</f>
        <v xml:space="preserve">   870423</v>
      </c>
      <c r="B532" t="str">
        <f>T("   D'UN POIDS EN CHARGE MAXIMAL EXCEDANT 20 TONNES")</f>
        <v xml:space="preserve">   D'UN POIDS EN CHARGE MAXIMAL EXCEDANT 20 TONNES</v>
      </c>
      <c r="C532">
        <v>50000</v>
      </c>
      <c r="D532">
        <v>51390348</v>
      </c>
    </row>
    <row r="533" spans="1:4" x14ac:dyDescent="0.25">
      <c r="A533" t="str">
        <f>T("   870840")</f>
        <v xml:space="preserve">   870840</v>
      </c>
      <c r="B533" t="str">
        <f>T("   BOITES DE VITESSES ET LEURS PARTIES")</f>
        <v xml:space="preserve">   BOITES DE VITESSES ET LEURS PARTIES</v>
      </c>
      <c r="C533">
        <v>1000</v>
      </c>
      <c r="D533">
        <v>2623840</v>
      </c>
    </row>
    <row r="534" spans="1:4" x14ac:dyDescent="0.25">
      <c r="A534" t="str">
        <f>T("   871190")</f>
        <v xml:space="preserve">   871190</v>
      </c>
      <c r="B534" t="str">
        <f>T("   AUTRES")</f>
        <v xml:space="preserve">   AUTRES</v>
      </c>
      <c r="C534">
        <v>75</v>
      </c>
      <c r="D534">
        <v>300000</v>
      </c>
    </row>
    <row r="535" spans="1:4" x14ac:dyDescent="0.25">
      <c r="A535" t="str">
        <f>T("   871640")</f>
        <v xml:space="preserve">   871640</v>
      </c>
      <c r="B535" t="str">
        <f>T("   AUTRES REMORQUES ET SEMIREMORQUES")</f>
        <v xml:space="preserve">   AUTRES REMORQUES ET SEMIREMORQUES</v>
      </c>
      <c r="C535">
        <v>98600</v>
      </c>
      <c r="D535">
        <v>91222180</v>
      </c>
    </row>
    <row r="536" spans="1:4" x14ac:dyDescent="0.25">
      <c r="A536" t="str">
        <f>T("   880330")</f>
        <v xml:space="preserve">   880330</v>
      </c>
      <c r="B536" t="str">
        <f>T("   AUTRES PARTIES D'AVIONS OU D'HELICOPTERES")</f>
        <v xml:space="preserve">   AUTRES PARTIES D'AVIONS OU D'HELICOPTERES</v>
      </c>
      <c r="C536">
        <v>12.99</v>
      </c>
      <c r="D536">
        <v>9937914</v>
      </c>
    </row>
    <row r="537" spans="1:4" x14ac:dyDescent="0.25">
      <c r="A537" t="str">
        <f>T("   890110")</f>
        <v xml:space="preserve">   890110</v>
      </c>
      <c r="B537" t="str">
        <f>T("   PAQUEBOTS, BATEAUX DE CROISIERES ET BATEAUX SIMILAIRES PRINCIPALEMENT CONCUS POUR LE")</f>
        <v xml:space="preserve">   PAQUEBOTS, BATEAUX DE CROISIERES ET BATEAUX SIMILAIRES PRINCIPALEMENT CONCUS POUR LE</v>
      </c>
      <c r="C537">
        <v>8000</v>
      </c>
      <c r="D537">
        <v>162514090</v>
      </c>
    </row>
    <row r="538" spans="1:4" x14ac:dyDescent="0.25">
      <c r="A538" t="str">
        <f>T("   890399")</f>
        <v xml:space="preserve">   890399</v>
      </c>
      <c r="B538" t="str">
        <f>T("   AUTRES")</f>
        <v xml:space="preserve">   AUTRES</v>
      </c>
      <c r="C538">
        <v>8000</v>
      </c>
      <c r="D538">
        <v>108493161</v>
      </c>
    </row>
    <row r="539" spans="1:4" x14ac:dyDescent="0.25">
      <c r="A539" t="str">
        <f>T("   900719")</f>
        <v xml:space="preserve">   900719</v>
      </c>
      <c r="B539" t="str">
        <f>T("   AUTRES CAMERAS MEME AVEC PRISE ET REPRODUCTION DU SON")</f>
        <v xml:space="preserve">   AUTRES CAMERAS MEME AVEC PRISE ET REPRODUCTION DU SON</v>
      </c>
      <c r="C539">
        <v>12</v>
      </c>
      <c r="D539">
        <v>65071</v>
      </c>
    </row>
    <row r="540" spans="1:4" x14ac:dyDescent="0.25">
      <c r="A540" t="str">
        <f>T("   901580")</f>
        <v xml:space="preserve">   901580</v>
      </c>
      <c r="B540" t="str">
        <f>T("   AUTRES INSTRUMENTS ET APPAREILS")</f>
        <v xml:space="preserve">   AUTRES INSTRUMENTS ET APPAREILS</v>
      </c>
      <c r="C540">
        <v>1836</v>
      </c>
      <c r="D540">
        <v>171287965</v>
      </c>
    </row>
    <row r="541" spans="1:4" x14ac:dyDescent="0.25">
      <c r="A541" t="str">
        <f>T("   901590")</f>
        <v xml:space="preserve">   901590</v>
      </c>
      <c r="B541" t="str">
        <f>T("   PARTIES ET ACCESSOIRES")</f>
        <v xml:space="preserve">   PARTIES ET ACCESSOIRES</v>
      </c>
      <c r="C541">
        <v>654</v>
      </c>
      <c r="D541">
        <v>9665682</v>
      </c>
    </row>
    <row r="542" spans="1:4" x14ac:dyDescent="0.25">
      <c r="A542" t="str">
        <f>T("   903040")</f>
        <v xml:space="preserve">   903040</v>
      </c>
      <c r="B542" t="str">
        <f>T("   AUTRES INSTRUMENTS ET APPAREILS, SPECIALEMENT CONCUS POUR LES TECHNIQUES DE LA TELECO")</f>
        <v xml:space="preserve">   AUTRES INSTRUMENTS ET APPAREILS, SPECIALEMENT CONCUS POUR LES TECHNIQUES DE LA TELECO</v>
      </c>
      <c r="C542">
        <v>76</v>
      </c>
      <c r="D542">
        <v>1792426</v>
      </c>
    </row>
    <row r="543" spans="1:4" x14ac:dyDescent="0.25">
      <c r="A543" t="str">
        <f>T("   903220")</f>
        <v xml:space="preserve">   903220</v>
      </c>
      <c r="B543" t="str">
        <f>T("   MANOSTATS (PRESSOSTATS)")</f>
        <v xml:space="preserve">   MANOSTATS (PRESSOSTATS)</v>
      </c>
      <c r="C543">
        <v>10.199999999999999</v>
      </c>
      <c r="D543">
        <v>7215560</v>
      </c>
    </row>
    <row r="544" spans="1:4" x14ac:dyDescent="0.25">
      <c r="A544" t="str">
        <f>T("   903289")</f>
        <v xml:space="preserve">   903289</v>
      </c>
      <c r="B544" t="str">
        <f>T("   AUTRES")</f>
        <v xml:space="preserve">   AUTRES</v>
      </c>
      <c r="C544">
        <v>3</v>
      </c>
      <c r="D544">
        <v>3083012</v>
      </c>
    </row>
    <row r="545" spans="1:4" x14ac:dyDescent="0.25">
      <c r="A545" t="str">
        <f>T("   940350")</f>
        <v xml:space="preserve">   940350</v>
      </c>
      <c r="B545" t="str">
        <f>T("   MEUBLES EN BOIS DES TYPES UTILISES DANS LES CHAMBRES A COUCHER")</f>
        <v xml:space="preserve">   MEUBLES EN BOIS DES TYPES UTILISES DANS LES CHAMBRES A COUCHER</v>
      </c>
      <c r="C545">
        <v>17924</v>
      </c>
      <c r="D545">
        <v>15920000</v>
      </c>
    </row>
    <row r="546" spans="1:4" x14ac:dyDescent="0.25">
      <c r="A546" t="str">
        <f>T("   940360")</f>
        <v xml:space="preserve">   940360</v>
      </c>
      <c r="B546" t="str">
        <f>T("   Autres meubles en bois")</f>
        <v xml:space="preserve">   Autres meubles en bois</v>
      </c>
      <c r="C546">
        <v>2120</v>
      </c>
      <c r="D546">
        <v>4419000</v>
      </c>
    </row>
    <row r="547" spans="1:4" x14ac:dyDescent="0.25">
      <c r="A547" t="str">
        <f>T("   940389")</f>
        <v xml:space="preserve">   940389</v>
      </c>
      <c r="B547" t="str">
        <f>T("   AUTRES")</f>
        <v xml:space="preserve">   AUTRES</v>
      </c>
      <c r="C547">
        <v>10000</v>
      </c>
      <c r="D547">
        <v>500000</v>
      </c>
    </row>
    <row r="548" spans="1:4" x14ac:dyDescent="0.25">
      <c r="A548" t="str">
        <f>T("   940390")</f>
        <v xml:space="preserve">   940390</v>
      </c>
      <c r="B548" t="str">
        <f>T("   PARTIES")</f>
        <v xml:space="preserve">   PARTIES</v>
      </c>
      <c r="C548">
        <v>13180</v>
      </c>
      <c r="D548">
        <v>3896402</v>
      </c>
    </row>
    <row r="549" spans="1:4" x14ac:dyDescent="0.25">
      <c r="A549" t="str">
        <f>T("   950490")</f>
        <v xml:space="preserve">   950490</v>
      </c>
      <c r="B549" t="str">
        <f>T("   AUTRES")</f>
        <v xml:space="preserve">   AUTRES</v>
      </c>
      <c r="C549">
        <v>60</v>
      </c>
      <c r="D549">
        <v>1332255</v>
      </c>
    </row>
    <row r="550" spans="1:4" x14ac:dyDescent="0.25">
      <c r="A550" t="str">
        <f>T("   970600")</f>
        <v xml:space="preserve">   970600</v>
      </c>
      <c r="B550" t="str">
        <f>T("   OBJETS D'ANTIQUITE AYANT PLUS DE 100 ANS D'AGE.")</f>
        <v xml:space="preserve">   OBJETS D'ANTIQUITE AYANT PLUS DE 100 ANS D'AGE.</v>
      </c>
      <c r="C550">
        <v>368</v>
      </c>
      <c r="D550">
        <v>150000</v>
      </c>
    </row>
    <row r="551" spans="1:4" s="1" customFormat="1" x14ac:dyDescent="0.25">
      <c r="A551" s="1" t="str">
        <f>T("   ZZ_Total_Produit_SH6")</f>
        <v xml:space="preserve">   ZZ_Total_Produit_SH6</v>
      </c>
      <c r="B551" s="1" t="str">
        <f>T("   ZZ_Total_Produit_SH6")</f>
        <v xml:space="preserve">   ZZ_Total_Produit_SH6</v>
      </c>
      <c r="C551" s="1">
        <v>6705099.2400000002</v>
      </c>
      <c r="D551" s="1">
        <v>11356699161</v>
      </c>
    </row>
    <row r="552" spans="1:4" s="1" customFormat="1" x14ac:dyDescent="0.25">
      <c r="B552" s="1" t="str">
        <f>T("Gabon")</f>
        <v>Gabon</v>
      </c>
    </row>
    <row r="553" spans="1:4" x14ac:dyDescent="0.25">
      <c r="A553" t="str">
        <f>T("   071022")</f>
        <v xml:space="preserve">   071022</v>
      </c>
      <c r="B553" t="str">
        <f>T("   HARICOTS (VIGNA SPP., PHASEOLUS SPP.)")</f>
        <v xml:space="preserve">   HARICOTS (VIGNA SPP., PHASEOLUS SPP.)</v>
      </c>
      <c r="C553">
        <v>13000</v>
      </c>
      <c r="D553">
        <v>1958500</v>
      </c>
    </row>
    <row r="554" spans="1:4" x14ac:dyDescent="0.25">
      <c r="A554" t="str">
        <f>T("   071339")</f>
        <v xml:space="preserve">   071339</v>
      </c>
      <c r="B554" t="str">
        <f>T("   AUTRES")</f>
        <v xml:space="preserve">   AUTRES</v>
      </c>
      <c r="C554">
        <v>10100</v>
      </c>
      <c r="D554">
        <v>2580000</v>
      </c>
    </row>
    <row r="555" spans="1:4" x14ac:dyDescent="0.25">
      <c r="A555" t="str">
        <f>T("   071490")</f>
        <v xml:space="preserve">   071490</v>
      </c>
      <c r="B555" t="str">
        <f>T("   AUTRES")</f>
        <v xml:space="preserve">   AUTRES</v>
      </c>
      <c r="C555">
        <v>264000</v>
      </c>
      <c r="D555">
        <v>15900000</v>
      </c>
    </row>
    <row r="556" spans="1:4" x14ac:dyDescent="0.25">
      <c r="A556" t="str">
        <f>T("   100590")</f>
        <v xml:space="preserve">   100590</v>
      </c>
      <c r="B556" t="str">
        <f>T("   AUTRE")</f>
        <v xml:space="preserve">   AUTRE</v>
      </c>
      <c r="C556">
        <v>5600</v>
      </c>
      <c r="D556">
        <v>969000</v>
      </c>
    </row>
    <row r="557" spans="1:4" x14ac:dyDescent="0.25">
      <c r="A557" t="str">
        <f>T("   110311")</f>
        <v xml:space="preserve">   110311</v>
      </c>
      <c r="B557" t="str">
        <f>T("   DE FROMENT (BLE)")</f>
        <v xml:space="preserve">   DE FROMENT (BLE)</v>
      </c>
      <c r="C557">
        <v>82086</v>
      </c>
      <c r="D557">
        <v>25728050</v>
      </c>
    </row>
    <row r="558" spans="1:4" x14ac:dyDescent="0.25">
      <c r="A558" t="str">
        <f>T("   110620")</f>
        <v xml:space="preserve">   110620</v>
      </c>
      <c r="B558" t="str">
        <f>T("   DE SAGOU OU DES RACINES OU TUBERCULES DU N° 07.14")</f>
        <v xml:space="preserve">   DE SAGOU OU DES RACINES OU TUBERCULES DU N° 07.14</v>
      </c>
      <c r="C558">
        <v>33530</v>
      </c>
      <c r="D558">
        <v>7525000</v>
      </c>
    </row>
    <row r="559" spans="1:4" x14ac:dyDescent="0.25">
      <c r="A559" t="str">
        <f>T("   121230")</f>
        <v xml:space="preserve">   121230</v>
      </c>
      <c r="B559" t="str">
        <f>T("   NOYAUX,AMANDES D'ABRICOTS,PECHES,PRUNES,DESTINES A L'ALIMENTATION HUMAINE")</f>
        <v xml:space="preserve">   NOYAUX,AMANDES D'ABRICOTS,PECHES,PRUNES,DESTINES A L'ALIMENTATION HUMAINE</v>
      </c>
      <c r="C559">
        <v>1212</v>
      </c>
      <c r="D559">
        <v>142093405</v>
      </c>
    </row>
    <row r="560" spans="1:4" x14ac:dyDescent="0.25">
      <c r="A560" t="str">
        <f>T("   190190")</f>
        <v xml:space="preserve">   190190</v>
      </c>
      <c r="B560" t="str">
        <f>T("   AUTRES")</f>
        <v xml:space="preserve">   AUTRES</v>
      </c>
      <c r="C560">
        <v>10000</v>
      </c>
      <c r="D560">
        <v>1000000</v>
      </c>
    </row>
    <row r="561" spans="1:4" x14ac:dyDescent="0.25">
      <c r="A561" t="str">
        <f>T("   190230")</f>
        <v xml:space="preserve">   190230</v>
      </c>
      <c r="B561" t="str">
        <f>T("   AUTRES PATES ALIMENTAIRES")</f>
        <v xml:space="preserve">   AUTRES PATES ALIMENTAIRES</v>
      </c>
      <c r="C561">
        <v>71510</v>
      </c>
      <c r="D561">
        <v>32357971</v>
      </c>
    </row>
    <row r="562" spans="1:4" x14ac:dyDescent="0.25">
      <c r="A562" t="str">
        <f>T("   190490")</f>
        <v xml:space="preserve">   190490</v>
      </c>
      <c r="B562" t="str">
        <f>T("   AUTRES")</f>
        <v xml:space="preserve">   AUTRES</v>
      </c>
      <c r="C562">
        <v>23220</v>
      </c>
      <c r="D562">
        <v>2200000</v>
      </c>
    </row>
    <row r="563" spans="1:4" x14ac:dyDescent="0.25">
      <c r="A563" t="str">
        <f>T("   200600")</f>
        <v xml:space="preserve">   200600</v>
      </c>
      <c r="B563" t="str">
        <f>T("   LEGUMES, FRUITS, ECORCES DE FRUITS ET AUTRES PARTIES DE PLANTES, CONFITS AU SUCRE (EGOU")</f>
        <v xml:space="preserve">   LEGUMES, FRUITS, ECORCES DE FRUITS ET AUTRES PARTIES DE PLANTES, CONFITS AU SUCRE (EGOU</v>
      </c>
      <c r="C563">
        <v>1400</v>
      </c>
      <c r="D563">
        <v>80000</v>
      </c>
    </row>
    <row r="564" spans="1:4" x14ac:dyDescent="0.25">
      <c r="A564" t="str">
        <f>T("   220429")</f>
        <v xml:space="preserve">   220429</v>
      </c>
      <c r="B564" t="str">
        <f>T("   AUTRES")</f>
        <v xml:space="preserve">   AUTRES</v>
      </c>
      <c r="C564">
        <v>2640</v>
      </c>
      <c r="D564">
        <v>1500000</v>
      </c>
    </row>
    <row r="565" spans="1:4" x14ac:dyDescent="0.25">
      <c r="A565" t="str">
        <f>T("   220600")</f>
        <v xml:space="preserve">   220600</v>
      </c>
      <c r="B565" t="str">
        <f>T("   AUTRES BOISSONS FERMENTEES (CIDRE, POIRE, HYDROMEL, PAR EXEMPLE); MELANGES DE BOISSONS")</f>
        <v xml:space="preserve">   AUTRES BOISSONS FERMENTEES (CIDRE, POIRE, HYDROMEL, PAR EXEMPLE); MELANGES DE BOISSONS</v>
      </c>
      <c r="C565">
        <v>11040</v>
      </c>
      <c r="D565">
        <v>150000</v>
      </c>
    </row>
    <row r="566" spans="1:4" x14ac:dyDescent="0.25">
      <c r="A566" t="str">
        <f>T("   220890")</f>
        <v xml:space="preserve">   220890</v>
      </c>
      <c r="B566" t="str">
        <f>T("   AUTRES")</f>
        <v xml:space="preserve">   AUTRES</v>
      </c>
      <c r="C566">
        <v>1500</v>
      </c>
      <c r="D566">
        <v>450000</v>
      </c>
    </row>
    <row r="567" spans="1:4" x14ac:dyDescent="0.25">
      <c r="A567" t="str">
        <f>T("   230210")</f>
        <v xml:space="preserve">   230210</v>
      </c>
      <c r="B567" t="str">
        <f>T("   DE MAIS")</f>
        <v xml:space="preserve">   DE MAIS</v>
      </c>
      <c r="C567">
        <v>25100</v>
      </c>
      <c r="D567">
        <v>4469000</v>
      </c>
    </row>
    <row r="568" spans="1:4" x14ac:dyDescent="0.25">
      <c r="A568" t="str">
        <f>T("   250810")</f>
        <v xml:space="preserve">   250810</v>
      </c>
      <c r="B568" t="str">
        <f>T("   BENTONITE")</f>
        <v xml:space="preserve">   BENTONITE</v>
      </c>
      <c r="C568">
        <v>82000</v>
      </c>
      <c r="D568">
        <v>1203316546</v>
      </c>
    </row>
    <row r="569" spans="1:4" x14ac:dyDescent="0.25">
      <c r="A569" t="str">
        <f>T("   252390")</f>
        <v xml:space="preserve">   252390</v>
      </c>
      <c r="B569" t="str">
        <f>T("   AUTRES CIMENTS HYDRAULIQUES")</f>
        <v xml:space="preserve">   AUTRES CIMENTS HYDRAULIQUES</v>
      </c>
      <c r="C569">
        <v>3000</v>
      </c>
      <c r="D569">
        <v>543208</v>
      </c>
    </row>
    <row r="570" spans="1:4" x14ac:dyDescent="0.25">
      <c r="A570" t="str">
        <f>T("   271019")</f>
        <v xml:space="preserve">   271019</v>
      </c>
      <c r="B570" t="str">
        <f>T("   AUTRES")</f>
        <v xml:space="preserve">   AUTRES</v>
      </c>
      <c r="C570">
        <v>9601</v>
      </c>
      <c r="D570">
        <v>21885018</v>
      </c>
    </row>
    <row r="571" spans="1:4" x14ac:dyDescent="0.25">
      <c r="A571" t="str">
        <f>T("   281511")</f>
        <v xml:space="preserve">   281511</v>
      </c>
      <c r="B571" t="str">
        <f>T("   SOLIDE")</f>
        <v xml:space="preserve">   SOLIDE</v>
      </c>
      <c r="C571">
        <v>1480</v>
      </c>
      <c r="D571">
        <v>11253942</v>
      </c>
    </row>
    <row r="572" spans="1:4" x14ac:dyDescent="0.25">
      <c r="A572" t="str">
        <f>T("   284440")</f>
        <v xml:space="preserve">   284440</v>
      </c>
      <c r="B572" t="str">
        <f>T("   ELEMENTS ET ISOTOPES ET COMPOSES RADIOACTIFS AUTRES QUE CEUX DES N°S 2844.10, 2844.20")</f>
        <v xml:space="preserve">   ELEMENTS ET ISOTOPES ET COMPOSES RADIOACTIFS AUTRES QUE CEUX DES N°S 2844.10, 2844.20</v>
      </c>
      <c r="C572">
        <v>823</v>
      </c>
      <c r="D572">
        <v>9402268</v>
      </c>
    </row>
    <row r="573" spans="1:4" x14ac:dyDescent="0.25">
      <c r="A573" t="str">
        <f>T("   290943")</f>
        <v xml:space="preserve">   290943</v>
      </c>
      <c r="B573" t="str">
        <f>T("   ETHERS MONOBUTYLIQUES DE L'ETHYLENE GLYCOL OU DU DIETHYLENE GLYCOL")</f>
        <v xml:space="preserve">   ETHERS MONOBUTYLIQUES DE L'ETHYLENE GLYCOL OU DU DIETHYLENE GLYCOL</v>
      </c>
      <c r="C573">
        <v>175950</v>
      </c>
      <c r="D573">
        <v>521803472</v>
      </c>
    </row>
    <row r="574" spans="1:4" x14ac:dyDescent="0.25">
      <c r="A574" t="str">
        <f>T("   330499")</f>
        <v xml:space="preserve">   330499</v>
      </c>
      <c r="B574" t="str">
        <f>T("   AUTRES")</f>
        <v xml:space="preserve">   AUTRES</v>
      </c>
      <c r="C574">
        <v>20405</v>
      </c>
      <c r="D574">
        <v>6787000</v>
      </c>
    </row>
    <row r="575" spans="1:4" x14ac:dyDescent="0.25">
      <c r="A575" t="str">
        <f>T("   350691")</f>
        <v xml:space="preserve">   350691</v>
      </c>
      <c r="B575" t="str">
        <f>T("   ADHESIFS A BASE DE POLYMERES DES N°S 39.01 A 39.13 OU DE CAOUTCHOUC")</f>
        <v xml:space="preserve">   ADHESIFS A BASE DE POLYMERES DES N°S 39.01 A 39.13 OU DE CAOUTCHOUC</v>
      </c>
      <c r="C575">
        <v>1485</v>
      </c>
      <c r="D575">
        <v>12531544</v>
      </c>
    </row>
    <row r="576" spans="1:4" x14ac:dyDescent="0.25">
      <c r="A576" t="str">
        <f>T("   360200")</f>
        <v xml:space="preserve">   360200</v>
      </c>
      <c r="B576" t="str">
        <f>T("   EXPLOSIFS PREPARES, AUTRES QUE LES POUDRES PROPULSIVES.")</f>
        <v xml:space="preserve">   EXPLOSIFS PREPARES, AUTRES QUE LES POUDRES PROPULSIVES.</v>
      </c>
      <c r="C576">
        <v>168</v>
      </c>
      <c r="D576">
        <v>2140455</v>
      </c>
    </row>
    <row r="577" spans="1:4" x14ac:dyDescent="0.25">
      <c r="A577" t="str">
        <f>T("   360300")</f>
        <v xml:space="preserve">   360300</v>
      </c>
      <c r="B577" t="str">
        <f>T("   MECHES DE SURETE; CORDEAUX DETONANTS; AMORCES ET CAPSULES FULMINANTES; ALLUMEURS; DETON")</f>
        <v xml:space="preserve">   MECHES DE SURETE; CORDEAUX DETONANTS; AMORCES ET CAPSULES FULMINANTES; ALLUMEURS; DETON</v>
      </c>
      <c r="C577">
        <v>419</v>
      </c>
      <c r="D577">
        <v>4906267</v>
      </c>
    </row>
    <row r="578" spans="1:4" x14ac:dyDescent="0.25">
      <c r="A578" t="str">
        <f>T("   380400")</f>
        <v xml:space="preserve">   380400</v>
      </c>
      <c r="B578" t="str">
        <f>T("   LESSIVES RESIDUAIRES DE LA FABRICATION DES PATES DE CELLULOSE, MEME CONCENTREES, DESUCR")</f>
        <v xml:space="preserve">   LESSIVES RESIDUAIRES DE LA FABRICATION DES PATES DE CELLULOSE, MEME CONCENTREES, DESUCR</v>
      </c>
      <c r="C578">
        <v>7035</v>
      </c>
      <c r="D578">
        <v>25989673</v>
      </c>
    </row>
    <row r="579" spans="1:4" x14ac:dyDescent="0.25">
      <c r="A579" t="str">
        <f>T("   382490")</f>
        <v xml:space="preserve">   382490</v>
      </c>
      <c r="B579" t="str">
        <f>T("   AUTRES")</f>
        <v xml:space="preserve">   AUTRES</v>
      </c>
      <c r="C579">
        <v>72558</v>
      </c>
      <c r="D579">
        <v>278152761</v>
      </c>
    </row>
    <row r="580" spans="1:4" x14ac:dyDescent="0.25">
      <c r="A580" t="str">
        <f>T("   390720")</f>
        <v xml:space="preserve">   390720</v>
      </c>
      <c r="B580" t="str">
        <f>T("   AUTRES POLYETHERS")</f>
        <v xml:space="preserve">   AUTRES POLYETHERS</v>
      </c>
      <c r="C580">
        <v>8167</v>
      </c>
      <c r="D580">
        <v>30171502</v>
      </c>
    </row>
    <row r="581" spans="1:4" x14ac:dyDescent="0.25">
      <c r="A581" t="str">
        <f>T("   391740")</f>
        <v xml:space="preserve">   391740</v>
      </c>
      <c r="B581" t="str">
        <f>T("   ACCESSOIRES")</f>
        <v xml:space="preserve">   ACCESSOIRES</v>
      </c>
      <c r="C581">
        <v>2402</v>
      </c>
      <c r="D581">
        <v>31737196</v>
      </c>
    </row>
    <row r="582" spans="1:4" x14ac:dyDescent="0.25">
      <c r="A582" t="str">
        <f>T("   392020")</f>
        <v xml:space="preserve">   392020</v>
      </c>
      <c r="B582" t="str">
        <f>T("   EN POLYMERES DU PROPYLENE")</f>
        <v xml:space="preserve">   EN POLYMERES DU PROPYLENE</v>
      </c>
      <c r="C582">
        <v>320</v>
      </c>
      <c r="D582">
        <v>605706</v>
      </c>
    </row>
    <row r="583" spans="1:4" x14ac:dyDescent="0.25">
      <c r="A583" t="str">
        <f>T("   392329")</f>
        <v xml:space="preserve">   392329</v>
      </c>
      <c r="B583" t="str">
        <f>T("   EN AUTRES MATIERES PLASTIQUES")</f>
        <v xml:space="preserve">   EN AUTRES MATIERES PLASTIQUES</v>
      </c>
      <c r="C583">
        <v>445</v>
      </c>
      <c r="D583">
        <v>770831</v>
      </c>
    </row>
    <row r="584" spans="1:4" x14ac:dyDescent="0.25">
      <c r="A584" t="str">
        <f>T("   392490")</f>
        <v xml:space="preserve">   392490</v>
      </c>
      <c r="B584" t="str">
        <f>T("   AUTRES")</f>
        <v xml:space="preserve">   AUTRES</v>
      </c>
      <c r="C584">
        <v>11350</v>
      </c>
      <c r="D584">
        <v>3130000</v>
      </c>
    </row>
    <row r="585" spans="1:4" x14ac:dyDescent="0.25">
      <c r="A585" t="str">
        <f>T("   392610")</f>
        <v xml:space="preserve">   392610</v>
      </c>
      <c r="B585" t="str">
        <f>T("   ARTICLES DE BUREAU ET ARTICLES SCOLAIRES")</f>
        <v xml:space="preserve">   ARTICLES DE BUREAU ET ARTICLES SCOLAIRES</v>
      </c>
      <c r="C585">
        <v>1520</v>
      </c>
      <c r="D585">
        <v>100000</v>
      </c>
    </row>
    <row r="586" spans="1:4" x14ac:dyDescent="0.25">
      <c r="A586" t="str">
        <f>T("   392690")</f>
        <v xml:space="preserve">   392690</v>
      </c>
      <c r="B586" t="str">
        <f>T("   AUTRES")</f>
        <v xml:space="preserve">   AUTRES</v>
      </c>
      <c r="C586">
        <v>1246</v>
      </c>
      <c r="D586">
        <v>11609621</v>
      </c>
    </row>
    <row r="587" spans="1:4" x14ac:dyDescent="0.25">
      <c r="A587" t="str">
        <f>T("   401211")</f>
        <v xml:space="preserve">   401211</v>
      </c>
      <c r="B587" t="str">
        <f>T("   DES TYPES UTILISES POUR LES VOITURES DE TOURISME (Y COMPRIS LES VOITURES DU TYPE «BR")</f>
        <v xml:space="preserve">   DES TYPES UTILISES POUR LES VOITURES DE TOURISME (Y COMPRIS LES VOITURES DU TYPE «BR</v>
      </c>
      <c r="C587">
        <v>870</v>
      </c>
      <c r="D587">
        <v>1830000</v>
      </c>
    </row>
    <row r="588" spans="1:4" x14ac:dyDescent="0.25">
      <c r="A588" t="str">
        <f>T("   401410")</f>
        <v xml:space="preserve">   401410</v>
      </c>
      <c r="B588" t="str">
        <f>T("   PRESERVATIFS")</f>
        <v xml:space="preserve">   PRESERVATIFS</v>
      </c>
      <c r="C588">
        <v>1020</v>
      </c>
      <c r="D588">
        <v>910000</v>
      </c>
    </row>
    <row r="589" spans="1:4" x14ac:dyDescent="0.25">
      <c r="A589" t="str">
        <f>T("   401693")</f>
        <v xml:space="preserve">   401693</v>
      </c>
      <c r="B589" t="str">
        <f>T("   JOINTS")</f>
        <v xml:space="preserve">   JOINTS</v>
      </c>
      <c r="C589">
        <v>165</v>
      </c>
      <c r="D589">
        <v>6072704</v>
      </c>
    </row>
    <row r="590" spans="1:4" x14ac:dyDescent="0.25">
      <c r="A590" t="str">
        <f>T("   420299")</f>
        <v xml:space="preserve">   420299</v>
      </c>
      <c r="B590" t="str">
        <f>T("   AUTRES")</f>
        <v xml:space="preserve">   AUTRES</v>
      </c>
      <c r="C590">
        <v>19</v>
      </c>
      <c r="D590">
        <v>218576</v>
      </c>
    </row>
    <row r="591" spans="1:4" x14ac:dyDescent="0.25">
      <c r="A591" t="str">
        <f>T("   460290")</f>
        <v xml:space="preserve">   460290</v>
      </c>
      <c r="B591" t="str">
        <f>T("   AUTRES")</f>
        <v xml:space="preserve">   AUTRES</v>
      </c>
      <c r="C591">
        <v>500</v>
      </c>
      <c r="D591">
        <v>420000</v>
      </c>
    </row>
    <row r="592" spans="1:4" x14ac:dyDescent="0.25">
      <c r="A592" t="str">
        <f>T("   481910")</f>
        <v xml:space="preserve">   481910</v>
      </c>
      <c r="B592" t="str">
        <f>T("   BOITES ET CAISSES EN PAPIER OU CARTON ONDULE")</f>
        <v xml:space="preserve">   BOITES ET CAISSES EN PAPIER OU CARTON ONDULE</v>
      </c>
      <c r="C592">
        <v>1270</v>
      </c>
      <c r="D592">
        <v>1050336</v>
      </c>
    </row>
    <row r="593" spans="1:4" x14ac:dyDescent="0.25">
      <c r="A593" t="str">
        <f>T("   481960")</f>
        <v xml:space="preserve">   481960</v>
      </c>
      <c r="B593" t="str">
        <f>T("   CARTONNAGES DE BUREAU, DE MAGASIN OU SIMILAIRES")</f>
        <v xml:space="preserve">   CARTONNAGES DE BUREAU, DE MAGASIN OU SIMILAIRES</v>
      </c>
      <c r="C593">
        <v>1549</v>
      </c>
      <c r="D593">
        <v>869764</v>
      </c>
    </row>
    <row r="594" spans="1:4" x14ac:dyDescent="0.25">
      <c r="A594" t="str">
        <f>T("   482320")</f>
        <v xml:space="preserve">   482320</v>
      </c>
      <c r="B594" t="str">
        <f>T("   PAPIER ET CARTONFILTRE")</f>
        <v xml:space="preserve">   PAPIER ET CARTONFILTRE</v>
      </c>
      <c r="C594">
        <v>1</v>
      </c>
      <c r="D594">
        <v>57020</v>
      </c>
    </row>
    <row r="595" spans="1:4" x14ac:dyDescent="0.25">
      <c r="A595" t="str">
        <f>T("   490110")</f>
        <v xml:space="preserve">   490110</v>
      </c>
      <c r="B595" t="str">
        <f>T("   EN FEUILLETS ISOLES, MEME PLIES")</f>
        <v xml:space="preserve">   EN FEUILLETS ISOLES, MEME PLIES</v>
      </c>
      <c r="C595">
        <v>1</v>
      </c>
      <c r="D595">
        <v>22435</v>
      </c>
    </row>
    <row r="596" spans="1:4" x14ac:dyDescent="0.25">
      <c r="A596" t="str">
        <f>T("   490199")</f>
        <v xml:space="preserve">   490199</v>
      </c>
      <c r="B596" t="str">
        <f>T("   AUTRES")</f>
        <v xml:space="preserve">   AUTRES</v>
      </c>
      <c r="C596">
        <v>1008</v>
      </c>
      <c r="D596">
        <v>5120000</v>
      </c>
    </row>
    <row r="597" spans="1:4" x14ac:dyDescent="0.25">
      <c r="A597" t="str">
        <f>T("   520829")</f>
        <v xml:space="preserve">   520829</v>
      </c>
      <c r="B597" t="str">
        <f>T("   AUTRES TISSUS")</f>
        <v xml:space="preserve">   AUTRES TISSUS</v>
      </c>
      <c r="C597">
        <v>2610</v>
      </c>
      <c r="D597">
        <v>650000</v>
      </c>
    </row>
    <row r="598" spans="1:4" x14ac:dyDescent="0.25">
      <c r="A598" t="str">
        <f>T("   520859")</f>
        <v xml:space="preserve">   520859</v>
      </c>
      <c r="B598" t="str">
        <f>T("   AUTRES TISSUS")</f>
        <v xml:space="preserve">   AUTRES TISSUS</v>
      </c>
      <c r="C598">
        <v>30000</v>
      </c>
      <c r="D598">
        <v>20000000</v>
      </c>
    </row>
    <row r="599" spans="1:4" x14ac:dyDescent="0.25">
      <c r="A599" t="str">
        <f>T("   610799")</f>
        <v xml:space="preserve">   610799</v>
      </c>
      <c r="B599" t="str">
        <f>T("   D'AUTRES MATIERES TEXTILES")</f>
        <v xml:space="preserve">   D'AUTRES MATIERES TEXTILES</v>
      </c>
      <c r="C599">
        <v>8000</v>
      </c>
      <c r="D599">
        <v>3942320</v>
      </c>
    </row>
    <row r="600" spans="1:4" x14ac:dyDescent="0.25">
      <c r="A600" t="str">
        <f>T("   630900")</f>
        <v xml:space="preserve">   630900</v>
      </c>
      <c r="B600" t="str">
        <f>T("   ARTICLES DE FRIPERIE.")</f>
        <v xml:space="preserve">   ARTICLES DE FRIPERIE.</v>
      </c>
      <c r="C600">
        <v>7500</v>
      </c>
      <c r="D600">
        <v>270000</v>
      </c>
    </row>
    <row r="601" spans="1:4" x14ac:dyDescent="0.25">
      <c r="A601" t="str">
        <f>T("   640319")</f>
        <v xml:space="preserve">   640319</v>
      </c>
      <c r="B601" t="str">
        <f>T("   AUTRES")</f>
        <v xml:space="preserve">   AUTRES</v>
      </c>
      <c r="C601">
        <v>1040</v>
      </c>
      <c r="D601">
        <v>975000</v>
      </c>
    </row>
    <row r="602" spans="1:4" x14ac:dyDescent="0.25">
      <c r="A602" t="str">
        <f>T("   670419")</f>
        <v xml:space="preserve">   670419</v>
      </c>
      <c r="B602" t="str">
        <f>T("   AUTRES")</f>
        <v xml:space="preserve">   AUTRES</v>
      </c>
      <c r="C602">
        <v>6070</v>
      </c>
      <c r="D602">
        <v>3000000</v>
      </c>
    </row>
    <row r="603" spans="1:4" x14ac:dyDescent="0.25">
      <c r="A603" t="str">
        <f>T("   681099")</f>
        <v xml:space="preserve">   681099</v>
      </c>
      <c r="B603" t="str">
        <f>T("   AUTRES")</f>
        <v xml:space="preserve">   AUTRES</v>
      </c>
      <c r="C603">
        <v>1220</v>
      </c>
      <c r="D603">
        <v>6887580</v>
      </c>
    </row>
    <row r="604" spans="1:4" x14ac:dyDescent="0.25">
      <c r="A604" t="str">
        <f>T("   701790")</f>
        <v xml:space="preserve">   701790</v>
      </c>
      <c r="B604" t="str">
        <f>T("   AUTRE")</f>
        <v xml:space="preserve">   AUTRE</v>
      </c>
      <c r="C604">
        <v>1</v>
      </c>
      <c r="D604">
        <v>28878</v>
      </c>
    </row>
    <row r="605" spans="1:4" x14ac:dyDescent="0.25">
      <c r="A605" t="str">
        <f>T("   701911")</f>
        <v xml:space="preserve">   701911</v>
      </c>
      <c r="B605" t="str">
        <f>T("   FILS COUPES (CHOPPED STRANDS), D'UNE LONGUEUR N'EXCEDANT PAS 50 MM")</f>
        <v xml:space="preserve">   FILS COUPES (CHOPPED STRANDS), D'UNE LONGUEUR N'EXCEDANT PAS 50 MM</v>
      </c>
      <c r="C605">
        <v>11861</v>
      </c>
      <c r="D605">
        <v>43815844</v>
      </c>
    </row>
    <row r="606" spans="1:4" x14ac:dyDescent="0.25">
      <c r="A606" t="str">
        <f>T("   730422")</f>
        <v xml:space="preserve">   730422</v>
      </c>
      <c r="B606" t="str">
        <f>T("   TIGES DE FORAGE EN ACIERS INOXYDABLES")</f>
        <v xml:space="preserve">   TIGES DE FORAGE EN ACIERS INOXYDABLES</v>
      </c>
      <c r="C606">
        <v>35640</v>
      </c>
      <c r="D606">
        <v>83680834</v>
      </c>
    </row>
    <row r="607" spans="1:4" x14ac:dyDescent="0.25">
      <c r="A607" t="str">
        <f>T("   730423")</f>
        <v xml:space="preserve">   730423</v>
      </c>
      <c r="B607" t="str">
        <f>T("   AUTRES TIGES DE FORAGE")</f>
        <v xml:space="preserve">   AUTRES TIGES DE FORAGE</v>
      </c>
      <c r="C607">
        <v>5009</v>
      </c>
      <c r="D607">
        <v>43703319</v>
      </c>
    </row>
    <row r="608" spans="1:4" x14ac:dyDescent="0.25">
      <c r="A608" t="str">
        <f>T("   730429")</f>
        <v xml:space="preserve">   730429</v>
      </c>
      <c r="B608" t="str">
        <f>T("   AUTRES")</f>
        <v xml:space="preserve">   AUTRES</v>
      </c>
      <c r="C608">
        <v>910</v>
      </c>
      <c r="D608">
        <v>28036887</v>
      </c>
    </row>
    <row r="609" spans="1:4" x14ac:dyDescent="0.25">
      <c r="A609" t="str">
        <f>T("   730490")</f>
        <v xml:space="preserve">   730490</v>
      </c>
      <c r="B609" t="str">
        <f>T("   AUTRES")</f>
        <v xml:space="preserve">   AUTRES</v>
      </c>
      <c r="C609">
        <v>447932</v>
      </c>
      <c r="D609">
        <v>1737701007</v>
      </c>
    </row>
    <row r="610" spans="1:4" x14ac:dyDescent="0.25">
      <c r="A610" t="str">
        <f>T("   730520")</f>
        <v xml:space="preserve">   730520</v>
      </c>
      <c r="B610" t="str">
        <f>T("   TUBES ET TUYAUX DE CUVELAGE DES TYPES UTILISES POUR L'EXTRACTION DU PETROLE OU DU GAZ")</f>
        <v xml:space="preserve">   TUBES ET TUYAUX DE CUVELAGE DES TYPES UTILISES POUR L'EXTRACTION DU PETROLE OU DU GAZ</v>
      </c>
      <c r="C610">
        <v>4546</v>
      </c>
      <c r="D610">
        <v>42137437</v>
      </c>
    </row>
    <row r="611" spans="1:4" x14ac:dyDescent="0.25">
      <c r="A611" t="str">
        <f>T("   730793")</f>
        <v xml:space="preserve">   730793</v>
      </c>
      <c r="B611" t="str">
        <f>T("   ACCESSOIRES A SOUDER BOUT A BOUT")</f>
        <v xml:space="preserve">   ACCESSOIRES A SOUDER BOUT A BOUT</v>
      </c>
      <c r="C611">
        <v>50</v>
      </c>
      <c r="D611">
        <v>521794</v>
      </c>
    </row>
    <row r="612" spans="1:4" x14ac:dyDescent="0.25">
      <c r="A612" t="str">
        <f>T("   730799")</f>
        <v xml:space="preserve">   730799</v>
      </c>
      <c r="B612" t="str">
        <f>T("   AUTRES")</f>
        <v xml:space="preserve">   AUTRES</v>
      </c>
      <c r="C612">
        <v>3142</v>
      </c>
      <c r="D612">
        <v>58504939</v>
      </c>
    </row>
    <row r="613" spans="1:4" x14ac:dyDescent="0.25">
      <c r="A613" t="str">
        <f>T("   730900")</f>
        <v xml:space="preserve">   730900</v>
      </c>
      <c r="B613" t="str">
        <f>T("   RESERVOIRS, FOUDRES, CUVES ET RECIPIENTS SIMILAIRES POUR TOUTES MATIERES (A L'EXCEPTION")</f>
        <v xml:space="preserve">   RESERVOIRS, FOUDRES, CUVES ET RECIPIENTS SIMILAIRES POUR TOUTES MATIERES (A L'EXCEPTION</v>
      </c>
      <c r="C613">
        <v>47082</v>
      </c>
      <c r="D613">
        <v>421063149</v>
      </c>
    </row>
    <row r="614" spans="1:4" x14ac:dyDescent="0.25">
      <c r="A614" t="str">
        <f>T("   731010")</f>
        <v xml:space="preserve">   731010</v>
      </c>
      <c r="B614" t="str">
        <f>T("   D'UNE CONTENANCE DE 50 L OU PLUS")</f>
        <v xml:space="preserve">   D'UNE CONTENANCE DE 50 L OU PLUS</v>
      </c>
      <c r="C614">
        <v>17500</v>
      </c>
      <c r="D614">
        <v>29419181</v>
      </c>
    </row>
    <row r="615" spans="1:4" x14ac:dyDescent="0.25">
      <c r="A615" t="str">
        <f>T("   731029")</f>
        <v xml:space="preserve">   731029</v>
      </c>
      <c r="B615" t="str">
        <f>T("   AUTRES")</f>
        <v xml:space="preserve">   AUTRES</v>
      </c>
      <c r="C615">
        <v>2382</v>
      </c>
      <c r="D615">
        <v>4232115</v>
      </c>
    </row>
    <row r="616" spans="1:4" x14ac:dyDescent="0.25">
      <c r="A616" t="str">
        <f>T("   731100")</f>
        <v xml:space="preserve">   731100</v>
      </c>
      <c r="B616" t="str">
        <f>T("   RECIPIENTS POUR GAZ COMPRIMES OU LIQUEFIES, EN FONTE, FER OU ACIER.")</f>
        <v xml:space="preserve">   RECIPIENTS POUR GAZ COMPRIMES OU LIQUEFIES, EN FONTE, FER OU ACIER.</v>
      </c>
      <c r="C616">
        <v>5778</v>
      </c>
      <c r="D616">
        <v>172592661</v>
      </c>
    </row>
    <row r="617" spans="1:4" x14ac:dyDescent="0.25">
      <c r="A617" t="str">
        <f>T("   731290")</f>
        <v xml:space="preserve">   731290</v>
      </c>
      <c r="B617" t="str">
        <f>T("   AUTRES")</f>
        <v xml:space="preserve">   AUTRES</v>
      </c>
      <c r="C617">
        <v>210</v>
      </c>
      <c r="D617">
        <v>2793566</v>
      </c>
    </row>
    <row r="618" spans="1:4" x14ac:dyDescent="0.25">
      <c r="A618" t="str">
        <f>T("   731815")</f>
        <v xml:space="preserve">   731815</v>
      </c>
      <c r="B618" t="str">
        <f>T("   AUTRES VIS ET BOULONS, MEME AVEC LEURS ECROUS OU RONDELLES")</f>
        <v xml:space="preserve">   AUTRES VIS ET BOULONS, MEME AVEC LEURS ECROUS OU RONDELLES</v>
      </c>
      <c r="C618">
        <v>1290</v>
      </c>
      <c r="D618">
        <v>260839531</v>
      </c>
    </row>
    <row r="619" spans="1:4" x14ac:dyDescent="0.25">
      <c r="A619" t="str">
        <f>T("   731829")</f>
        <v xml:space="preserve">   731829</v>
      </c>
      <c r="B619" t="str">
        <f>T("   AUTRES")</f>
        <v xml:space="preserve">   AUTRES</v>
      </c>
      <c r="C619">
        <v>476</v>
      </c>
      <c r="D619">
        <v>9139877</v>
      </c>
    </row>
    <row r="620" spans="1:4" x14ac:dyDescent="0.25">
      <c r="A620" t="str">
        <f>T("   732394")</f>
        <v xml:space="preserve">   732394</v>
      </c>
      <c r="B620" t="str">
        <f>T("   EN FER OU EN ACIER, EMAILLES")</f>
        <v xml:space="preserve">   EN FER OU EN ACIER, EMAILLES</v>
      </c>
      <c r="C620">
        <v>1430</v>
      </c>
      <c r="D620">
        <v>500500</v>
      </c>
    </row>
    <row r="621" spans="1:4" x14ac:dyDescent="0.25">
      <c r="A621" t="str">
        <f>T("   732399")</f>
        <v xml:space="preserve">   732399</v>
      </c>
      <c r="B621" t="str">
        <f>T("   AUTRES")</f>
        <v xml:space="preserve">   AUTRES</v>
      </c>
      <c r="C621">
        <v>4700</v>
      </c>
      <c r="D621">
        <v>6950000</v>
      </c>
    </row>
    <row r="622" spans="1:4" x14ac:dyDescent="0.25">
      <c r="A622" t="str">
        <f>T("   732690")</f>
        <v xml:space="preserve">   732690</v>
      </c>
      <c r="B622" t="str">
        <f>T("   AUTRES")</f>
        <v xml:space="preserve">   AUTRES</v>
      </c>
      <c r="C622">
        <v>408578</v>
      </c>
      <c r="D622">
        <v>1653222842</v>
      </c>
    </row>
    <row r="623" spans="1:4" x14ac:dyDescent="0.25">
      <c r="A623" t="str">
        <f>T("   741819")</f>
        <v xml:space="preserve">   741819</v>
      </c>
      <c r="B623" t="str">
        <f>T("   AUTRES ARTICLES DE MENAGE OU D'ECONOMIE MIXTE EN CUIVRE")</f>
        <v xml:space="preserve">   AUTRES ARTICLES DE MENAGE OU D'ECONOMIE MIXTE EN CUIVRE</v>
      </c>
      <c r="C623">
        <v>550</v>
      </c>
      <c r="D623">
        <v>505440</v>
      </c>
    </row>
    <row r="624" spans="1:4" x14ac:dyDescent="0.25">
      <c r="A624" t="str">
        <f>T("   750890")</f>
        <v xml:space="preserve">   750890</v>
      </c>
      <c r="B624" t="str">
        <f>T("   AUTRES")</f>
        <v xml:space="preserve">   AUTRES</v>
      </c>
      <c r="C624">
        <v>14750</v>
      </c>
      <c r="D624">
        <v>1645979947</v>
      </c>
    </row>
    <row r="625" spans="1:4" x14ac:dyDescent="0.25">
      <c r="A625" t="str">
        <f>T("   760410")</f>
        <v xml:space="preserve">   760410</v>
      </c>
      <c r="B625" t="str">
        <f>T("   EN ALUMINIUM NON ALLIE")</f>
        <v xml:space="preserve">   EN ALUMINIUM NON ALLIE</v>
      </c>
      <c r="C625">
        <v>2100</v>
      </c>
      <c r="D625">
        <v>135000</v>
      </c>
    </row>
    <row r="626" spans="1:4" x14ac:dyDescent="0.25">
      <c r="A626" t="str">
        <f>T("   760429")</f>
        <v xml:space="preserve">   760429</v>
      </c>
      <c r="B626" t="str">
        <f>T("   AUTRES")</f>
        <v xml:space="preserve">   AUTRES</v>
      </c>
      <c r="C626">
        <v>2800</v>
      </c>
      <c r="D626">
        <v>5200000</v>
      </c>
    </row>
    <row r="627" spans="1:4" x14ac:dyDescent="0.25">
      <c r="A627" t="str">
        <f>T("   761490")</f>
        <v xml:space="preserve">   761490</v>
      </c>
      <c r="B627" t="str">
        <f>T("   AUTRES")</f>
        <v xml:space="preserve">   AUTRES</v>
      </c>
      <c r="C627">
        <v>1977</v>
      </c>
      <c r="D627">
        <v>11169687</v>
      </c>
    </row>
    <row r="628" spans="1:4" x14ac:dyDescent="0.25">
      <c r="A628" t="str">
        <f>T("   761699")</f>
        <v xml:space="preserve">   761699</v>
      </c>
      <c r="B628" t="str">
        <f>T("   AUTRES")</f>
        <v xml:space="preserve">   AUTRES</v>
      </c>
      <c r="C628">
        <v>10</v>
      </c>
      <c r="D628">
        <v>288780</v>
      </c>
    </row>
    <row r="629" spans="1:4" x14ac:dyDescent="0.25">
      <c r="A629" t="str">
        <f>T("   811229")</f>
        <v xml:space="preserve">   811229</v>
      </c>
      <c r="B629" t="str">
        <f>T("   AUTRES")</f>
        <v xml:space="preserve">   AUTRES</v>
      </c>
      <c r="C629">
        <v>610</v>
      </c>
      <c r="D629">
        <v>2489480</v>
      </c>
    </row>
    <row r="630" spans="1:4" x14ac:dyDescent="0.25">
      <c r="A630" t="str">
        <f>T("   820559")</f>
        <v xml:space="preserve">   820559</v>
      </c>
      <c r="B630" t="str">
        <f>T("   AUTRES")</f>
        <v xml:space="preserve">   AUTRES</v>
      </c>
      <c r="C630">
        <v>419.22</v>
      </c>
      <c r="D630">
        <v>85719116</v>
      </c>
    </row>
    <row r="631" spans="1:4" x14ac:dyDescent="0.25">
      <c r="A631" t="str">
        <f>T("   820590")</f>
        <v xml:space="preserve">   820590</v>
      </c>
      <c r="B631" t="str">
        <f>T("   AUTRES, Y COMPRIS LES ASSORTIMENTS D'ARTICLES D'AU MOINS DEUX DES SOUSPOSITIONS DE L")</f>
        <v xml:space="preserve">   AUTRES, Y COMPRIS LES ASSORTIMENTS D'ARTICLES D'AU MOINS DEUX DES SOUSPOSITIONS DE L</v>
      </c>
      <c r="C631">
        <v>6</v>
      </c>
      <c r="D631">
        <v>330718</v>
      </c>
    </row>
    <row r="632" spans="1:4" x14ac:dyDescent="0.25">
      <c r="A632" t="str">
        <f>T("   820719")</f>
        <v xml:space="preserve">   820719</v>
      </c>
      <c r="B632" t="str">
        <f>T("   AUTRES, Y COMPRIS LES PARTIES")</f>
        <v xml:space="preserve">   AUTRES, Y COMPRIS LES PARTIES</v>
      </c>
      <c r="C632">
        <v>710</v>
      </c>
      <c r="D632">
        <v>15033970</v>
      </c>
    </row>
    <row r="633" spans="1:4" x14ac:dyDescent="0.25">
      <c r="A633" t="str">
        <f>T("   820750")</f>
        <v xml:space="preserve">   820750</v>
      </c>
      <c r="B633" t="str">
        <f>T("   OUTILS A PERCER")</f>
        <v xml:space="preserve">   OUTILS A PERCER</v>
      </c>
      <c r="C633">
        <v>54699</v>
      </c>
      <c r="D633">
        <v>539163114</v>
      </c>
    </row>
    <row r="634" spans="1:4" x14ac:dyDescent="0.25">
      <c r="A634" t="str">
        <f>T("   830241")</f>
        <v xml:space="preserve">   830241</v>
      </c>
      <c r="B634" t="str">
        <f>T("   POUR BATIMENTS")</f>
        <v xml:space="preserve">   POUR BATIMENTS</v>
      </c>
      <c r="C634">
        <v>94</v>
      </c>
      <c r="D634">
        <v>1206919</v>
      </c>
    </row>
    <row r="635" spans="1:4" x14ac:dyDescent="0.25">
      <c r="A635" t="str">
        <f>T("   830790")</f>
        <v xml:space="preserve">   830790</v>
      </c>
      <c r="B635" t="str">
        <f>T("   EN AUTRES METAUX COMMUNS")</f>
        <v xml:space="preserve">   EN AUTRES METAUX COMMUNS</v>
      </c>
      <c r="C635">
        <v>70</v>
      </c>
      <c r="D635">
        <v>2567812</v>
      </c>
    </row>
    <row r="636" spans="1:4" x14ac:dyDescent="0.25">
      <c r="A636" t="str">
        <f>T("   840790")</f>
        <v xml:space="preserve">   840790</v>
      </c>
      <c r="B636" t="str">
        <f>T("   AUTRES MOTEURS")</f>
        <v xml:space="preserve">   AUTRES MOTEURS</v>
      </c>
      <c r="C636">
        <v>17675</v>
      </c>
      <c r="D636">
        <v>54592962</v>
      </c>
    </row>
    <row r="637" spans="1:4" x14ac:dyDescent="0.25">
      <c r="A637" t="str">
        <f>T("   840890")</f>
        <v xml:space="preserve">   840890</v>
      </c>
      <c r="B637" t="str">
        <f>T("   AUTRES MOTEURS")</f>
        <v xml:space="preserve">   AUTRES MOTEURS</v>
      </c>
      <c r="C637">
        <v>2500</v>
      </c>
      <c r="D637">
        <v>1050000</v>
      </c>
    </row>
    <row r="638" spans="1:4" x14ac:dyDescent="0.25">
      <c r="A638" t="str">
        <f>T("   841221")</f>
        <v xml:space="preserve">   841221</v>
      </c>
      <c r="B638" t="str">
        <f>T("   A MOUVEMENT RECTILIGNE (CYLINDRES)")</f>
        <v xml:space="preserve">   A MOUVEMENT RECTILIGNE (CYLINDRES)</v>
      </c>
      <c r="C638">
        <v>2910</v>
      </c>
      <c r="D638">
        <v>24902507</v>
      </c>
    </row>
    <row r="639" spans="1:4" x14ac:dyDescent="0.25">
      <c r="A639" t="str">
        <f>T("   841350")</f>
        <v xml:space="preserve">   841350</v>
      </c>
      <c r="B639" t="str">
        <f>T("   Autres pompes volumetriques alternatives")</f>
        <v xml:space="preserve">   Autres pompes volumetriques alternatives</v>
      </c>
      <c r="C639">
        <v>2516.63</v>
      </c>
      <c r="D639">
        <v>40912633</v>
      </c>
    </row>
    <row r="640" spans="1:4" x14ac:dyDescent="0.25">
      <c r="A640" t="str">
        <f>T("   841360")</f>
        <v xml:space="preserve">   841360</v>
      </c>
      <c r="B640" t="str">
        <f>T("   Autres pompes volumetriques rotatives")</f>
        <v xml:space="preserve">   Autres pompes volumetriques rotatives</v>
      </c>
      <c r="C640">
        <v>398</v>
      </c>
      <c r="D640">
        <v>10270668</v>
      </c>
    </row>
    <row r="641" spans="1:4" x14ac:dyDescent="0.25">
      <c r="A641" t="str">
        <f>T("   841381")</f>
        <v xml:space="preserve">   841381</v>
      </c>
      <c r="B641" t="str">
        <f>T("   POMPES")</f>
        <v xml:space="preserve">   POMPES</v>
      </c>
      <c r="C641">
        <v>50731</v>
      </c>
      <c r="D641">
        <v>326076164</v>
      </c>
    </row>
    <row r="642" spans="1:4" x14ac:dyDescent="0.25">
      <c r="A642" t="str">
        <f>T("   841989")</f>
        <v xml:space="preserve">   841989</v>
      </c>
      <c r="B642" t="str">
        <f>T("   AUTRES")</f>
        <v xml:space="preserve">   AUTRES</v>
      </c>
      <c r="C642">
        <v>3749</v>
      </c>
      <c r="D642">
        <v>125489708</v>
      </c>
    </row>
    <row r="643" spans="1:4" x14ac:dyDescent="0.25">
      <c r="A643" t="str">
        <f>T("   842119")</f>
        <v xml:space="preserve">   842119</v>
      </c>
      <c r="B643" t="str">
        <f>T("   AUTRES")</f>
        <v xml:space="preserve">   AUTRES</v>
      </c>
      <c r="C643">
        <v>7362.64</v>
      </c>
      <c r="D643">
        <v>54219809</v>
      </c>
    </row>
    <row r="644" spans="1:4" x14ac:dyDescent="0.25">
      <c r="A644" t="str">
        <f>T("   842121")</f>
        <v xml:space="preserve">   842121</v>
      </c>
      <c r="B644" t="str">
        <f>T("   POUR LA FILTRATION OU L'EPURATION DES EAUX")</f>
        <v xml:space="preserve">   POUR LA FILTRATION OU L'EPURATION DES EAUX</v>
      </c>
      <c r="C644">
        <v>70818</v>
      </c>
      <c r="D644">
        <v>369625868</v>
      </c>
    </row>
    <row r="645" spans="1:4" x14ac:dyDescent="0.25">
      <c r="A645" t="str">
        <f>T("   842129")</f>
        <v xml:space="preserve">   842129</v>
      </c>
      <c r="B645" t="str">
        <f>T("   AUTRES")</f>
        <v xml:space="preserve">   AUTRES</v>
      </c>
      <c r="C645">
        <v>235</v>
      </c>
      <c r="D645">
        <v>10644448</v>
      </c>
    </row>
    <row r="646" spans="1:4" x14ac:dyDescent="0.25">
      <c r="A646" t="str">
        <f>T("   842131")</f>
        <v xml:space="preserve">   842131</v>
      </c>
      <c r="B646" t="str">
        <f>T("   FILTRES D'ENTREE D'AIR POUR MOTEURS A ALLUMAGE PAR ETINCELLES OU PAR COMPRESSION")</f>
        <v xml:space="preserve">   FILTRES D'ENTREE D'AIR POUR MOTEURS A ALLUMAGE PAR ETINCELLES OU PAR COMPRESSION</v>
      </c>
      <c r="C646">
        <v>42</v>
      </c>
      <c r="D646">
        <v>435161</v>
      </c>
    </row>
    <row r="647" spans="1:4" x14ac:dyDescent="0.25">
      <c r="A647" t="str">
        <f>T("   842139")</f>
        <v xml:space="preserve">   842139</v>
      </c>
      <c r="B647" t="str">
        <f>T("   AUTRES")</f>
        <v xml:space="preserve">   AUTRES</v>
      </c>
      <c r="C647">
        <v>243</v>
      </c>
      <c r="D647">
        <v>6467672</v>
      </c>
    </row>
    <row r="648" spans="1:4" x14ac:dyDescent="0.25">
      <c r="A648" t="str">
        <f>T("   842199")</f>
        <v xml:space="preserve">   842199</v>
      </c>
      <c r="B648" t="str">
        <f>T("   AUTRES")</f>
        <v xml:space="preserve">   AUTRES</v>
      </c>
      <c r="C648">
        <v>17</v>
      </c>
      <c r="D648">
        <v>976860</v>
      </c>
    </row>
    <row r="649" spans="1:4" x14ac:dyDescent="0.25">
      <c r="A649" t="str">
        <f>T("   842389")</f>
        <v xml:space="preserve">   842389</v>
      </c>
      <c r="B649" t="str">
        <f>T("   AUTRES")</f>
        <v xml:space="preserve">   AUTRES</v>
      </c>
      <c r="C649">
        <v>1363</v>
      </c>
      <c r="D649">
        <v>9857111</v>
      </c>
    </row>
    <row r="650" spans="1:4" x14ac:dyDescent="0.25">
      <c r="A650" t="str">
        <f>T("   842420")</f>
        <v xml:space="preserve">   842420</v>
      </c>
      <c r="B650" t="str">
        <f>T("   Pistolets aerographes et appareils similaires")</f>
        <v xml:space="preserve">   Pistolets aerographes et appareils similaires</v>
      </c>
      <c r="C650">
        <v>27</v>
      </c>
      <c r="D650">
        <v>284797</v>
      </c>
    </row>
    <row r="651" spans="1:4" x14ac:dyDescent="0.25">
      <c r="A651" t="str">
        <f>T("   842549")</f>
        <v xml:space="preserve">   842549</v>
      </c>
      <c r="B651" t="str">
        <f>T("   AUTRES")</f>
        <v xml:space="preserve">   AUTRES</v>
      </c>
      <c r="C651">
        <v>2852</v>
      </c>
      <c r="D651">
        <v>27876248</v>
      </c>
    </row>
    <row r="652" spans="1:4" x14ac:dyDescent="0.25">
      <c r="A652" t="str">
        <f>T("   842790")</f>
        <v xml:space="preserve">   842790</v>
      </c>
      <c r="B652" t="str">
        <f>T("   AUTRES CHARIOTS")</f>
        <v xml:space="preserve">   AUTRES CHARIOTS</v>
      </c>
      <c r="C652">
        <v>7240</v>
      </c>
      <c r="D652">
        <v>34671486</v>
      </c>
    </row>
    <row r="653" spans="1:4" x14ac:dyDescent="0.25">
      <c r="A653" t="str">
        <f>T("   842860")</f>
        <v xml:space="preserve">   842860</v>
      </c>
      <c r="B653" t="str">
        <f>T("   TELEPHERIQUES (Y COMPRIS LES TELESIEGES ET REMONTEPENTES); MECANISMES DE TRACTION PO")</f>
        <v xml:space="preserve">   TELEPHERIQUES (Y COMPRIS LES TELESIEGES ET REMONTEPENTES); MECANISMES DE TRACTION PO</v>
      </c>
      <c r="C653">
        <v>1350</v>
      </c>
      <c r="D653">
        <v>83806505</v>
      </c>
    </row>
    <row r="654" spans="1:4" x14ac:dyDescent="0.25">
      <c r="A654" t="str">
        <f>T("   842890")</f>
        <v xml:space="preserve">   842890</v>
      </c>
      <c r="B654" t="str">
        <f>T("   AUTRES MACHINES ET APPAREILS")</f>
        <v xml:space="preserve">   AUTRES MACHINES ET APPAREILS</v>
      </c>
      <c r="C654">
        <v>19976</v>
      </c>
      <c r="D654">
        <v>168598539</v>
      </c>
    </row>
    <row r="655" spans="1:4" x14ac:dyDescent="0.25">
      <c r="A655" t="str">
        <f>T("   843041")</f>
        <v xml:space="preserve">   843041</v>
      </c>
      <c r="B655" t="str">
        <f>T("   AUTOPROPULSEES")</f>
        <v xml:space="preserve">   AUTOPROPULSEES</v>
      </c>
      <c r="C655">
        <v>3051</v>
      </c>
      <c r="D655">
        <v>17981016</v>
      </c>
    </row>
    <row r="656" spans="1:4" x14ac:dyDescent="0.25">
      <c r="A656" t="str">
        <f>T("   843139")</f>
        <v xml:space="preserve">   843139</v>
      </c>
      <c r="B656" t="str">
        <f>T("   AUTRES")</f>
        <v xml:space="preserve">   AUTRES</v>
      </c>
      <c r="C656">
        <v>70</v>
      </c>
      <c r="D656">
        <v>4891097</v>
      </c>
    </row>
    <row r="657" spans="1:4" x14ac:dyDescent="0.25">
      <c r="A657" t="str">
        <f>T("   843143")</f>
        <v xml:space="preserve">   843143</v>
      </c>
      <c r="B657" t="str">
        <f>T("   PARTIES DE MACHINES DE SONDAGE OU DE FORAGE DES N°S 8430.41 OU 8430.49")</f>
        <v xml:space="preserve">   PARTIES DE MACHINES DE SONDAGE OU DE FORAGE DES N°S 8430.41 OU 8430.49</v>
      </c>
      <c r="C657">
        <v>387878</v>
      </c>
      <c r="D657">
        <v>9718215659</v>
      </c>
    </row>
    <row r="658" spans="1:4" x14ac:dyDescent="0.25">
      <c r="A658" t="str">
        <f>T("   843149")</f>
        <v xml:space="preserve">   843149</v>
      </c>
      <c r="B658" t="str">
        <f>T("   AUTRES")</f>
        <v xml:space="preserve">   AUTRES</v>
      </c>
      <c r="C658">
        <v>115448</v>
      </c>
      <c r="D658">
        <v>1002238795</v>
      </c>
    </row>
    <row r="659" spans="1:4" x14ac:dyDescent="0.25">
      <c r="A659" t="str">
        <f>T("   843510")</f>
        <v xml:space="preserve">   843510</v>
      </c>
      <c r="B659" t="str">
        <f>T("   MACHINES ET APPAREILS")</f>
        <v xml:space="preserve">   MACHINES ET APPAREILS</v>
      </c>
      <c r="C659">
        <v>29</v>
      </c>
      <c r="D659">
        <v>1638617</v>
      </c>
    </row>
    <row r="660" spans="1:4" x14ac:dyDescent="0.25">
      <c r="A660" t="str">
        <f>T("   847160")</f>
        <v xml:space="preserve">   847160</v>
      </c>
      <c r="B660" t="str">
        <f>T("   UNITES D'ENTREE OU DE SORTIE, POUVANT COMPORTER, SOUS LA MEME ENVELOPPE, DES UNITES D")</f>
        <v xml:space="preserve">   UNITES D'ENTREE OU DE SORTIE, POUVANT COMPORTER, SOUS LA MEME ENVELOPPE, DES UNITES D</v>
      </c>
      <c r="C660">
        <v>5</v>
      </c>
      <c r="D660">
        <v>275987</v>
      </c>
    </row>
    <row r="661" spans="1:4" x14ac:dyDescent="0.25">
      <c r="A661" t="str">
        <f>T("   847170")</f>
        <v xml:space="preserve">   847170</v>
      </c>
      <c r="B661" t="str">
        <f>T("   UNITES DE MEMOIRE")</f>
        <v xml:space="preserve">   UNITES DE MEMOIRE</v>
      </c>
      <c r="C661">
        <v>12</v>
      </c>
      <c r="D661">
        <v>174435</v>
      </c>
    </row>
    <row r="662" spans="1:4" x14ac:dyDescent="0.25">
      <c r="A662" t="str">
        <f>T("   847190")</f>
        <v xml:space="preserve">   847190</v>
      </c>
      <c r="B662" t="str">
        <f>T("   AUTRES")</f>
        <v xml:space="preserve">   AUTRES</v>
      </c>
      <c r="C662">
        <v>75.3</v>
      </c>
      <c r="D662">
        <v>1105149</v>
      </c>
    </row>
    <row r="663" spans="1:4" x14ac:dyDescent="0.25">
      <c r="A663" t="str">
        <f>T("   847330")</f>
        <v xml:space="preserve">   847330</v>
      </c>
      <c r="B663" t="str">
        <f>T("   PARTIES ET ACCESSOIRES DES MACHINES DU N° 84.71")</f>
        <v xml:space="preserve">   PARTIES ET ACCESSOIRES DES MACHINES DU N° 84.71</v>
      </c>
      <c r="C663">
        <v>49</v>
      </c>
      <c r="D663">
        <v>7508118</v>
      </c>
    </row>
    <row r="664" spans="1:4" x14ac:dyDescent="0.25">
      <c r="A664" t="str">
        <f>T("   847989")</f>
        <v xml:space="preserve">   847989</v>
      </c>
      <c r="B664" t="str">
        <f>T("   AUTRES")</f>
        <v xml:space="preserve">   AUTRES</v>
      </c>
      <c r="C664">
        <v>18306</v>
      </c>
      <c r="D664">
        <v>88771391</v>
      </c>
    </row>
    <row r="665" spans="1:4" x14ac:dyDescent="0.25">
      <c r="A665" t="str">
        <f>T("   847990")</f>
        <v xml:space="preserve">   847990</v>
      </c>
      <c r="B665" t="str">
        <f>T("   PARTIES")</f>
        <v xml:space="preserve">   PARTIES</v>
      </c>
      <c r="C665">
        <v>9103</v>
      </c>
      <c r="D665">
        <v>311418772</v>
      </c>
    </row>
    <row r="666" spans="1:4" x14ac:dyDescent="0.25">
      <c r="A666" t="str">
        <f>T("   848120")</f>
        <v xml:space="preserve">   848120</v>
      </c>
      <c r="B666" t="str">
        <f>T("   VALVES POUR TRANSMISSIONS OLEOHYDRAULIQUES OU PNEUMATIQUES")</f>
        <v xml:space="preserve">   VALVES POUR TRANSMISSIONS OLEOHYDRAULIQUES OU PNEUMATIQUES</v>
      </c>
      <c r="C666">
        <v>146</v>
      </c>
      <c r="D666">
        <v>5805767</v>
      </c>
    </row>
    <row r="667" spans="1:4" x14ac:dyDescent="0.25">
      <c r="A667" t="str">
        <f>T("   848130")</f>
        <v xml:space="preserve">   848130</v>
      </c>
      <c r="B667" t="str">
        <f>T("   Clapets et soupapes de retenue")</f>
        <v xml:space="preserve">   Clapets et soupapes de retenue</v>
      </c>
      <c r="C667">
        <v>1475</v>
      </c>
      <c r="D667">
        <v>11448521</v>
      </c>
    </row>
    <row r="668" spans="1:4" x14ac:dyDescent="0.25">
      <c r="A668" t="str">
        <f>T("   848140")</f>
        <v xml:space="preserve">   848140</v>
      </c>
      <c r="B668" t="str">
        <f>T("   SOUPAPES DE TROPPLEIN OU DE SURETE")</f>
        <v xml:space="preserve">   SOUPAPES DE TROPPLEIN OU DE SURETE</v>
      </c>
      <c r="C668">
        <v>2032</v>
      </c>
      <c r="D668">
        <v>150575700</v>
      </c>
    </row>
    <row r="669" spans="1:4" x14ac:dyDescent="0.25">
      <c r="A669" t="str">
        <f>T("   848180")</f>
        <v xml:space="preserve">   848180</v>
      </c>
      <c r="B669" t="str">
        <f>T("   Autres articles de robinetterie et organes similaires")</f>
        <v xml:space="preserve">   Autres articles de robinetterie et organes similaires</v>
      </c>
      <c r="C669">
        <v>27139</v>
      </c>
      <c r="D669">
        <v>505470387</v>
      </c>
    </row>
    <row r="670" spans="1:4" x14ac:dyDescent="0.25">
      <c r="A670" t="str">
        <f>T("   848190")</f>
        <v xml:space="preserve">   848190</v>
      </c>
      <c r="B670" t="str">
        <f>T("   PARTIES")</f>
        <v xml:space="preserve">   PARTIES</v>
      </c>
      <c r="C670">
        <v>24.5</v>
      </c>
      <c r="D670">
        <v>533550</v>
      </c>
    </row>
    <row r="671" spans="1:4" x14ac:dyDescent="0.25">
      <c r="A671" t="str">
        <f>T("   848280")</f>
        <v xml:space="preserve">   848280</v>
      </c>
      <c r="B671" t="str">
        <f>T("   AUTRES, Y COMPRIS LES ROULEMENTS COMBINES")</f>
        <v xml:space="preserve">   AUTRES, Y COMPRIS LES ROULEMENTS COMBINES</v>
      </c>
      <c r="C671">
        <v>135</v>
      </c>
      <c r="D671">
        <v>7093296</v>
      </c>
    </row>
    <row r="672" spans="1:4" x14ac:dyDescent="0.25">
      <c r="A672" t="str">
        <f>T("   848490")</f>
        <v xml:space="preserve">   848490</v>
      </c>
      <c r="B672" t="str">
        <f>T("   AUTRES")</f>
        <v xml:space="preserve">   AUTRES</v>
      </c>
      <c r="C672">
        <v>22</v>
      </c>
      <c r="D672">
        <v>2190742</v>
      </c>
    </row>
    <row r="673" spans="1:4" x14ac:dyDescent="0.25">
      <c r="A673" t="str">
        <f>T("   850140")</f>
        <v xml:space="preserve">   850140</v>
      </c>
      <c r="B673" t="str">
        <f>T("   AUTRES MOTEURS A COURANT ALTERNATIF, MONOPHASES")</f>
        <v xml:space="preserve">   AUTRES MOTEURS A COURANT ALTERNATIF, MONOPHASES</v>
      </c>
      <c r="C673">
        <v>2100</v>
      </c>
      <c r="D673">
        <v>2200000</v>
      </c>
    </row>
    <row r="674" spans="1:4" x14ac:dyDescent="0.25">
      <c r="A674" t="str">
        <f>T("   850239")</f>
        <v xml:space="preserve">   850239</v>
      </c>
      <c r="B674" t="str">
        <f>T("   AUTRES")</f>
        <v xml:space="preserve">   AUTRES</v>
      </c>
      <c r="C674">
        <v>18507</v>
      </c>
      <c r="D674">
        <v>125135521</v>
      </c>
    </row>
    <row r="675" spans="1:4" x14ac:dyDescent="0.25">
      <c r="A675" t="str">
        <f>T("   850421")</f>
        <v xml:space="preserve">   850421</v>
      </c>
      <c r="B675" t="str">
        <f>T("   D'UNE PUISSANCE N'EXCEDANT PAS 650 KVA")</f>
        <v xml:space="preserve">   D'UNE PUISSANCE N'EXCEDANT PAS 650 KVA</v>
      </c>
      <c r="C675">
        <v>36</v>
      </c>
      <c r="D675">
        <v>3334085</v>
      </c>
    </row>
    <row r="676" spans="1:4" x14ac:dyDescent="0.25">
      <c r="A676" t="str">
        <f>T("   850422")</f>
        <v xml:space="preserve">   850422</v>
      </c>
      <c r="B676" t="str">
        <f>T("   D'UNE PUISSANCE EXCEDANT 650 KVA MAIS N'EXCEDANT PAS 10.000 KVA")</f>
        <v xml:space="preserve">   D'UNE PUISSANCE EXCEDANT 650 KVA MAIS N'EXCEDANT PAS 10.000 KVA</v>
      </c>
      <c r="C676">
        <v>662</v>
      </c>
      <c r="D676">
        <v>5591372</v>
      </c>
    </row>
    <row r="677" spans="1:4" x14ac:dyDescent="0.25">
      <c r="A677" t="str">
        <f>T("   850440")</f>
        <v xml:space="preserve">   850440</v>
      </c>
      <c r="B677" t="str">
        <f>T("   CONVERTISSEURS STATIQUES")</f>
        <v xml:space="preserve">   CONVERTISSEURS STATIQUES</v>
      </c>
      <c r="C677">
        <v>26</v>
      </c>
      <c r="D677">
        <v>2467790</v>
      </c>
    </row>
    <row r="678" spans="1:4" x14ac:dyDescent="0.25">
      <c r="A678" t="str">
        <f>T("   850650")</f>
        <v xml:space="preserve">   850650</v>
      </c>
      <c r="B678" t="str">
        <f>T("   AU LITHIUM")</f>
        <v xml:space="preserve">   AU LITHIUM</v>
      </c>
      <c r="C678">
        <v>189</v>
      </c>
      <c r="D678">
        <v>2846969</v>
      </c>
    </row>
    <row r="679" spans="1:4" x14ac:dyDescent="0.25">
      <c r="A679" t="str">
        <f>T("   851310")</f>
        <v xml:space="preserve">   851310</v>
      </c>
      <c r="B679" t="str">
        <f>T("   LAMPES")</f>
        <v xml:space="preserve">   LAMPES</v>
      </c>
      <c r="C679">
        <v>762</v>
      </c>
      <c r="D679">
        <v>4303097</v>
      </c>
    </row>
    <row r="680" spans="1:4" x14ac:dyDescent="0.25">
      <c r="A680" t="str">
        <f>T("   851769")</f>
        <v xml:space="preserve">   851769</v>
      </c>
      <c r="B680" t="str">
        <f>T("   AUTRES")</f>
        <v xml:space="preserve">   AUTRES</v>
      </c>
      <c r="C680">
        <v>72</v>
      </c>
      <c r="D680">
        <v>2151924</v>
      </c>
    </row>
    <row r="681" spans="1:4" x14ac:dyDescent="0.25">
      <c r="A681" t="str">
        <f>T("   852560")</f>
        <v xml:space="preserve">   852560</v>
      </c>
      <c r="B681" t="str">
        <f>T("   APPAREILS D'EMISSION INCORPORANT UN APPAREIL DE RECEPTION")</f>
        <v xml:space="preserve">   APPAREILS D'EMISSION INCORPORANT UN APPAREIL DE RECEPTION</v>
      </c>
      <c r="C681">
        <v>25</v>
      </c>
      <c r="D681">
        <v>2271103</v>
      </c>
    </row>
    <row r="682" spans="1:4" x14ac:dyDescent="0.25">
      <c r="A682" t="str">
        <f>T("   853180")</f>
        <v xml:space="preserve">   853180</v>
      </c>
      <c r="B682" t="str">
        <f>T("   AUTRES APPAREILS")</f>
        <v xml:space="preserve">   AUTRES APPAREILS</v>
      </c>
      <c r="C682">
        <v>500</v>
      </c>
      <c r="D682">
        <v>500000</v>
      </c>
    </row>
    <row r="683" spans="1:4" x14ac:dyDescent="0.25">
      <c r="A683" t="str">
        <f>T("   853650")</f>
        <v xml:space="preserve">   853650</v>
      </c>
      <c r="B683" t="str">
        <f>T("   AUTRES INTERRUPTEURS, SECTIONNEURS ET COMMUTATEURS")</f>
        <v xml:space="preserve">   AUTRES INTERRUPTEURS, SECTIONNEURS ET COMMUTATEURS</v>
      </c>
      <c r="C683">
        <v>2.0499999999999998</v>
      </c>
      <c r="D683">
        <v>2053063</v>
      </c>
    </row>
    <row r="684" spans="1:4" x14ac:dyDescent="0.25">
      <c r="A684" t="str">
        <f>T("   853690")</f>
        <v xml:space="preserve">   853690</v>
      </c>
      <c r="B684" t="str">
        <f>T("   AUTRES APPAREILS")</f>
        <v xml:space="preserve">   AUTRES APPAREILS</v>
      </c>
      <c r="C684">
        <v>18972.060000000001</v>
      </c>
      <c r="D684">
        <v>1295818355</v>
      </c>
    </row>
    <row r="685" spans="1:4" x14ac:dyDescent="0.25">
      <c r="A685" t="str">
        <f>T("   853710")</f>
        <v xml:space="preserve">   853710</v>
      </c>
      <c r="B685" t="str">
        <f>T("   POUR UNE TENSION N'EXCEDANT PAS 1.000 V")</f>
        <v xml:space="preserve">   POUR UNE TENSION N'EXCEDANT PAS 1.000 V</v>
      </c>
      <c r="C685">
        <v>6131</v>
      </c>
      <c r="D685">
        <v>34634688</v>
      </c>
    </row>
    <row r="686" spans="1:4" x14ac:dyDescent="0.25">
      <c r="A686" t="str">
        <f>T("   853922")</f>
        <v xml:space="preserve">   853922</v>
      </c>
      <c r="B686" t="str">
        <f>T("   AUTRES, D’UNE PUISSANCE N’EXCEDANT PAS 200 W ET D’UNE TENSION EXCEDANT 100 V")</f>
        <v xml:space="preserve">   AUTRES, D’UNE PUISSANCE N’EXCEDANT PAS 200 W ET D’UNE TENSION EXCEDANT 100 V</v>
      </c>
      <c r="C686">
        <v>100</v>
      </c>
      <c r="D686">
        <v>5400747</v>
      </c>
    </row>
    <row r="687" spans="1:4" x14ac:dyDescent="0.25">
      <c r="A687" t="str">
        <f>T("   853939")</f>
        <v xml:space="preserve">   853939</v>
      </c>
      <c r="B687" t="str">
        <f>T("   AUTRES")</f>
        <v xml:space="preserve">   AUTRES</v>
      </c>
      <c r="C687">
        <v>17</v>
      </c>
      <c r="D687">
        <v>510779</v>
      </c>
    </row>
    <row r="688" spans="1:4" x14ac:dyDescent="0.25">
      <c r="A688" t="str">
        <f>T("   854320")</f>
        <v xml:space="preserve">   854320</v>
      </c>
      <c r="B688" t="str">
        <f>T("   GENERATEURS DE SIGNAUX")</f>
        <v xml:space="preserve">   GENERATEURS DE SIGNAUX</v>
      </c>
      <c r="C688">
        <v>25</v>
      </c>
      <c r="D688">
        <v>744746</v>
      </c>
    </row>
    <row r="689" spans="1:4" x14ac:dyDescent="0.25">
      <c r="A689" t="str">
        <f>T("   854370")</f>
        <v xml:space="preserve">   854370</v>
      </c>
      <c r="B689" t="str">
        <f>T("   AUTRES MACHINES ET APPAREILS")</f>
        <v xml:space="preserve">   AUTRES MACHINES ET APPAREILS</v>
      </c>
      <c r="C689">
        <v>1</v>
      </c>
      <c r="D689">
        <v>28928</v>
      </c>
    </row>
    <row r="690" spans="1:4" x14ac:dyDescent="0.25">
      <c r="A690" t="str">
        <f>T("   854419")</f>
        <v xml:space="preserve">   854419</v>
      </c>
      <c r="B690" t="str">
        <f>T("   AUTRES")</f>
        <v xml:space="preserve">   AUTRES</v>
      </c>
      <c r="C690">
        <v>116</v>
      </c>
      <c r="D690">
        <v>2236549</v>
      </c>
    </row>
    <row r="691" spans="1:4" x14ac:dyDescent="0.25">
      <c r="A691" t="str">
        <f>T("   854420")</f>
        <v xml:space="preserve">   854420</v>
      </c>
      <c r="B691" t="str">
        <f>T("   Cables coaxiaux et autres conducteurs electriques coaxiaux")</f>
        <v xml:space="preserve">   Cables coaxiaux et autres conducteurs electriques coaxiaux</v>
      </c>
      <c r="C691">
        <v>369</v>
      </c>
      <c r="D691">
        <v>4990220</v>
      </c>
    </row>
    <row r="692" spans="1:4" x14ac:dyDescent="0.25">
      <c r="A692" t="str">
        <f>T("   860900")</f>
        <v xml:space="preserve">   860900</v>
      </c>
      <c r="B692" t="str">
        <f>T("   CADRES ET CONTENEURS (Y COMPRIS LES CONTENEURSCITERNES ET LES CONTENEURSRESERVOIRS) S")</f>
        <v xml:space="preserve">   CADRES ET CONTENEURS (Y COMPRIS LES CONTENEURSCITERNES ET LES CONTENEURSRESERVOIRS) S</v>
      </c>
      <c r="C692">
        <v>76291</v>
      </c>
      <c r="D692">
        <v>409609288</v>
      </c>
    </row>
    <row r="693" spans="1:4" x14ac:dyDescent="0.25">
      <c r="A693" t="str">
        <f>T("   870322")</f>
        <v xml:space="preserve">   870322</v>
      </c>
      <c r="B693" t="str">
        <f>T("   D’UNE CYLINDREE EXCEDANT 1.000 CM³ MAIS N’EXCEDANT PAS 1.500 CM³")</f>
        <v xml:space="preserve">   D’UNE CYLINDREE EXCEDANT 1.000 CM³ MAIS N’EXCEDANT PAS 1.500 CM³</v>
      </c>
      <c r="C693">
        <v>3907</v>
      </c>
      <c r="D693">
        <v>3600000</v>
      </c>
    </row>
    <row r="694" spans="1:4" x14ac:dyDescent="0.25">
      <c r="A694" t="str">
        <f>T("   870323")</f>
        <v xml:space="preserve">   870323</v>
      </c>
      <c r="B694" t="str">
        <f>T("   D’UNE CYLINDREE EXCEDANT 1.500 CM³ MAIS N’EXCEDANT PAS 3.000 CM³")</f>
        <v xml:space="preserve">   D’UNE CYLINDREE EXCEDANT 1.500 CM³ MAIS N’EXCEDANT PAS 3.000 CM³</v>
      </c>
      <c r="C694">
        <v>8520</v>
      </c>
      <c r="D694">
        <v>13609272</v>
      </c>
    </row>
    <row r="695" spans="1:4" x14ac:dyDescent="0.25">
      <c r="A695" t="str">
        <f>T("   870333")</f>
        <v xml:space="preserve">   870333</v>
      </c>
      <c r="B695" t="str">
        <f>T("   D'UNE CYLINDREE EXCEDANT 2.500 CM³")</f>
        <v xml:space="preserve">   D'UNE CYLINDREE EXCEDANT 2.500 CM³</v>
      </c>
      <c r="C695">
        <v>1830</v>
      </c>
      <c r="D695">
        <v>1200000</v>
      </c>
    </row>
    <row r="696" spans="1:4" x14ac:dyDescent="0.25">
      <c r="A696" t="str">
        <f>T("   870422")</f>
        <v xml:space="preserve">   870422</v>
      </c>
      <c r="B696" t="str">
        <f>T("   D'UN POIDS EN CHARGE MAXIMAL EXCEDANT 5 TONNES MAIS N'EXCEDANT PAS 20 TONNES")</f>
        <v xml:space="preserve">   D'UN POIDS EN CHARGE MAXIMAL EXCEDANT 5 TONNES MAIS N'EXCEDANT PAS 20 TONNES</v>
      </c>
      <c r="C696">
        <v>9280</v>
      </c>
      <c r="D696">
        <v>2352295</v>
      </c>
    </row>
    <row r="697" spans="1:4" x14ac:dyDescent="0.25">
      <c r="A697" t="str">
        <f>T("   870520")</f>
        <v xml:space="preserve">   870520</v>
      </c>
      <c r="B697" t="str">
        <f>T("   Derricks automobiles pour le sondage ou le forage")</f>
        <v xml:space="preserve">   Derricks automobiles pour le sondage ou le forage</v>
      </c>
      <c r="C697">
        <v>24880</v>
      </c>
      <c r="D697">
        <v>15000000</v>
      </c>
    </row>
    <row r="698" spans="1:4" x14ac:dyDescent="0.25">
      <c r="A698" t="str">
        <f>T("   870899")</f>
        <v xml:space="preserve">   870899</v>
      </c>
      <c r="B698" t="str">
        <f>T("   AUTRES")</f>
        <v xml:space="preserve">   AUTRES</v>
      </c>
      <c r="C698">
        <v>1308</v>
      </c>
      <c r="D698">
        <v>1609923</v>
      </c>
    </row>
    <row r="699" spans="1:4" x14ac:dyDescent="0.25">
      <c r="A699" t="str">
        <f>T("   871120")</f>
        <v xml:space="preserve">   871120</v>
      </c>
      <c r="B699" t="str">
        <f>T("   A MOTEUR A PISTON ALTERNATIF, D'UNE CYLINDREE EXCEDANT 50 CM³ MAIS N'EXCEDANT PAS 250")</f>
        <v xml:space="preserve">   A MOTEUR A PISTON ALTERNATIF, D'UNE CYLINDREE EXCEDANT 50 CM³ MAIS N'EXCEDANT PAS 250</v>
      </c>
      <c r="C699">
        <v>350</v>
      </c>
      <c r="D699">
        <v>1200000</v>
      </c>
    </row>
    <row r="700" spans="1:4" x14ac:dyDescent="0.25">
      <c r="A700" t="str">
        <f>T("   871190")</f>
        <v xml:space="preserve">   871190</v>
      </c>
      <c r="B700" t="str">
        <f>T("   AUTRES")</f>
        <v xml:space="preserve">   AUTRES</v>
      </c>
      <c r="C700">
        <v>4800</v>
      </c>
      <c r="D700">
        <v>2200000</v>
      </c>
    </row>
    <row r="701" spans="1:4" x14ac:dyDescent="0.25">
      <c r="A701" t="str">
        <f>T("   880211")</f>
        <v xml:space="preserve">   880211</v>
      </c>
      <c r="B701" t="str">
        <f>T("   D'UN POIDS A VIDE N'EXCEDANT PAS 2.000 KG")</f>
        <v xml:space="preserve">   D'UN POIDS A VIDE N'EXCEDANT PAS 2.000 KG</v>
      </c>
      <c r="C701">
        <v>350</v>
      </c>
      <c r="D701">
        <v>11243595860</v>
      </c>
    </row>
    <row r="702" spans="1:4" x14ac:dyDescent="0.25">
      <c r="A702" t="str">
        <f>T("   880212")</f>
        <v xml:space="preserve">   880212</v>
      </c>
      <c r="B702" t="str">
        <f>T("   D'UN POIDS A VIDE EXCEDANT 2.000 KG")</f>
        <v xml:space="preserve">   D'UN POIDS A VIDE EXCEDANT 2.000 KG</v>
      </c>
      <c r="C702">
        <v>10248</v>
      </c>
      <c r="D702">
        <v>10994315642</v>
      </c>
    </row>
    <row r="703" spans="1:4" x14ac:dyDescent="0.25">
      <c r="A703" t="str">
        <f>T("   880330")</f>
        <v xml:space="preserve">   880330</v>
      </c>
      <c r="B703" t="str">
        <f>T("   AUTRES PARTIES D'AVIONS OU D'HELICOPTERES")</f>
        <v xml:space="preserve">   AUTRES PARTIES D'AVIONS OU D'HELICOPTERES</v>
      </c>
      <c r="C703">
        <v>270.8</v>
      </c>
      <c r="D703">
        <v>122869406</v>
      </c>
    </row>
    <row r="704" spans="1:4" x14ac:dyDescent="0.25">
      <c r="A704" t="str">
        <f>T("   890190")</f>
        <v xml:space="preserve">   890190</v>
      </c>
      <c r="B704" t="str">
        <f>T("   AUTRES BATEAUX POUR LE TRANSPORT DE MARCHANDISES ET AUTRES BATEAUX CONCUS A LA FOIS P")</f>
        <v xml:space="preserve">   AUTRES BATEAUX POUR LE TRANSPORT DE MARCHANDISES ET AUTRES BATEAUX CONCUS A LA FOIS P</v>
      </c>
      <c r="C704">
        <v>16715</v>
      </c>
      <c r="D704">
        <v>235430124</v>
      </c>
    </row>
    <row r="705" spans="1:4" x14ac:dyDescent="0.25">
      <c r="A705" t="str">
        <f>T("   890399")</f>
        <v xml:space="preserve">   890399</v>
      </c>
      <c r="B705" t="str">
        <f>T("   AUTRES")</f>
        <v xml:space="preserve">   AUTRES</v>
      </c>
      <c r="C705">
        <v>2793000</v>
      </c>
      <c r="D705">
        <v>21917442663</v>
      </c>
    </row>
    <row r="706" spans="1:4" x14ac:dyDescent="0.25">
      <c r="A706" t="str">
        <f>T("   890690")</f>
        <v xml:space="preserve">   890690</v>
      </c>
      <c r="B706" t="str">
        <f>T("   AUTRES")</f>
        <v xml:space="preserve">   AUTRES</v>
      </c>
      <c r="C706">
        <v>42825</v>
      </c>
      <c r="D706">
        <v>440049447</v>
      </c>
    </row>
    <row r="707" spans="1:4" x14ac:dyDescent="0.25">
      <c r="A707" t="str">
        <f>T("   900630")</f>
        <v xml:space="preserve">   900630</v>
      </c>
      <c r="B707" t="str">
        <f>T("   APPAREILS PHOTOGRAPHIQUES SPECIALEMENT CONCUS POUR LA PHOTOGRAPHIE SOUSMARINE OU AER")</f>
        <v xml:space="preserve">   APPAREILS PHOTOGRAPHIQUES SPECIALEMENT CONCUS POUR LA PHOTOGRAPHIE SOUSMARINE OU AER</v>
      </c>
      <c r="C707">
        <v>15</v>
      </c>
      <c r="D707">
        <v>781053</v>
      </c>
    </row>
    <row r="708" spans="1:4" x14ac:dyDescent="0.25">
      <c r="A708" t="str">
        <f>T("   901580")</f>
        <v xml:space="preserve">   901580</v>
      </c>
      <c r="B708" t="str">
        <f>T("   AUTRES INSTRUMENTS ET APPAREILS")</f>
        <v xml:space="preserve">   AUTRES INSTRUMENTS ET APPAREILS</v>
      </c>
      <c r="C708">
        <v>25923</v>
      </c>
      <c r="D708">
        <v>292497967</v>
      </c>
    </row>
    <row r="709" spans="1:4" x14ac:dyDescent="0.25">
      <c r="A709" t="str">
        <f>T("   901590")</f>
        <v xml:space="preserve">   901590</v>
      </c>
      <c r="B709" t="str">
        <f>T("   PARTIES ET ACCESSOIRES")</f>
        <v xml:space="preserve">   PARTIES ET ACCESSOIRES</v>
      </c>
      <c r="C709">
        <v>11333</v>
      </c>
      <c r="D709">
        <v>196771488</v>
      </c>
    </row>
    <row r="710" spans="1:4" x14ac:dyDescent="0.25">
      <c r="A710" t="str">
        <f>T("   902000")</f>
        <v xml:space="preserve">   902000</v>
      </c>
      <c r="B710" t="str">
        <f>T("   AUTRES APPAREILS RESPIRATOIRES ET MASQUES A GAZ, A L'EXCLUSION DES MASQUES DE PROTECTIO")</f>
        <v xml:space="preserve">   AUTRES APPAREILS RESPIRATOIRES ET MASQUES A GAZ, A L'EXCLUSION DES MASQUES DE PROTECTIO</v>
      </c>
      <c r="C710">
        <v>6700</v>
      </c>
      <c r="D710">
        <v>76383500</v>
      </c>
    </row>
    <row r="711" spans="1:4" x14ac:dyDescent="0.25">
      <c r="A711" t="str">
        <f>T("   902610")</f>
        <v xml:space="preserve">   902610</v>
      </c>
      <c r="B711" t="str">
        <f>T("   POUR LA MESURE OU LE CONTROLE DU DEBIT OU DU NIVEAU DES LIQUIDES")</f>
        <v xml:space="preserve">   POUR LA MESURE OU LE CONTROLE DU DEBIT OU DU NIVEAU DES LIQUIDES</v>
      </c>
      <c r="C711">
        <v>29</v>
      </c>
      <c r="D711">
        <v>1925774</v>
      </c>
    </row>
    <row r="712" spans="1:4" x14ac:dyDescent="0.25">
      <c r="A712" t="str">
        <f>T("   902620")</f>
        <v xml:space="preserve">   902620</v>
      </c>
      <c r="B712" t="str">
        <f>T("   POUR LA MESURE OU LE CONTROLE DE LA PRESSION")</f>
        <v xml:space="preserve">   POUR LA MESURE OU LE CONTROLE DE LA PRESSION</v>
      </c>
      <c r="C712">
        <v>10.4</v>
      </c>
      <c r="D712">
        <v>780267</v>
      </c>
    </row>
    <row r="713" spans="1:4" x14ac:dyDescent="0.25">
      <c r="A713" t="str">
        <f>T("   902690")</f>
        <v xml:space="preserve">   902690</v>
      </c>
      <c r="B713" t="str">
        <f>T("   PARTIES ET ACCESSOIRES")</f>
        <v xml:space="preserve">   PARTIES ET ACCESSOIRES</v>
      </c>
      <c r="C713">
        <v>2</v>
      </c>
      <c r="D713">
        <v>135194</v>
      </c>
    </row>
    <row r="714" spans="1:4" x14ac:dyDescent="0.25">
      <c r="A714" t="str">
        <f>T("   902780")</f>
        <v xml:space="preserve">   902780</v>
      </c>
      <c r="B714" t="str">
        <f>T("   AUTRES INSTRUMENTS ET APPAREILS")</f>
        <v xml:space="preserve">   AUTRES INSTRUMENTS ET APPAREILS</v>
      </c>
      <c r="C714">
        <v>4957</v>
      </c>
      <c r="D714">
        <v>165945252</v>
      </c>
    </row>
    <row r="715" spans="1:4" x14ac:dyDescent="0.25">
      <c r="A715" t="str">
        <f>T("   903031")</f>
        <v xml:space="preserve">   903031</v>
      </c>
      <c r="B715" t="str">
        <f>T("   MULTIMETRES, SANS DISPOSITIF ENREGISTREUR")</f>
        <v xml:space="preserve">   MULTIMETRES, SANS DISPOSITIF ENREGISTREUR</v>
      </c>
      <c r="C715">
        <v>124.78</v>
      </c>
      <c r="D715">
        <v>45225558</v>
      </c>
    </row>
    <row r="716" spans="1:4" x14ac:dyDescent="0.25">
      <c r="A716" t="str">
        <f>T("   903039")</f>
        <v xml:space="preserve">   903039</v>
      </c>
      <c r="B716" t="str">
        <f>T("   AUTRES, AVEC DISPOSITIF ENREGISTREUR")</f>
        <v xml:space="preserve">   AUTRES, AVEC DISPOSITIF ENREGISTREUR</v>
      </c>
      <c r="C716">
        <v>10</v>
      </c>
      <c r="D716">
        <v>22016543</v>
      </c>
    </row>
    <row r="717" spans="1:4" x14ac:dyDescent="0.25">
      <c r="A717" t="str">
        <f>T("   903110")</f>
        <v xml:space="preserve">   903110</v>
      </c>
      <c r="B717" t="str">
        <f>T("   MACHINES A EQUILIBRER LES PIECES MECANIQUES")</f>
        <v xml:space="preserve">   MACHINES A EQUILIBRER LES PIECES MECANIQUES</v>
      </c>
      <c r="C717">
        <v>151</v>
      </c>
      <c r="D717">
        <v>2904725</v>
      </c>
    </row>
    <row r="718" spans="1:4" x14ac:dyDescent="0.25">
      <c r="A718" t="str">
        <f>T("   903180")</f>
        <v xml:space="preserve">   903180</v>
      </c>
      <c r="B718" t="str">
        <f>T("   AUTRES INSTRUMENTS, APPAREILS ET MACHINES")</f>
        <v xml:space="preserve">   AUTRES INSTRUMENTS, APPAREILS ET MACHINES</v>
      </c>
      <c r="C718">
        <v>285</v>
      </c>
      <c r="D718">
        <v>118561747</v>
      </c>
    </row>
    <row r="719" spans="1:4" x14ac:dyDescent="0.25">
      <c r="A719" t="str">
        <f>T("   903210")</f>
        <v xml:space="preserve">   903210</v>
      </c>
      <c r="B719" t="str">
        <f>T("   THERMOSTATS")</f>
        <v xml:space="preserve">   THERMOSTATS</v>
      </c>
      <c r="C719">
        <v>63</v>
      </c>
      <c r="D719">
        <v>943513</v>
      </c>
    </row>
    <row r="720" spans="1:4" x14ac:dyDescent="0.25">
      <c r="A720" t="str">
        <f>T("   903300")</f>
        <v xml:space="preserve">   903300</v>
      </c>
      <c r="B720" t="str">
        <f>T("   PARTIES ET ACCESSOIRES NON DENOMMES NI COMPRIS AILLEURS DANS LE PRESENT CHAPITRE, POUR")</f>
        <v xml:space="preserve">   PARTIES ET ACCESSOIRES NON DENOMMES NI COMPRIS AILLEURS DANS LE PRESENT CHAPITRE, POUR</v>
      </c>
      <c r="C720">
        <v>72</v>
      </c>
      <c r="D720">
        <v>3293050</v>
      </c>
    </row>
    <row r="721" spans="1:4" x14ac:dyDescent="0.25">
      <c r="A721" t="str">
        <f>T("   930690")</f>
        <v xml:space="preserve">   930690</v>
      </c>
      <c r="B721" t="str">
        <f>T("   AUTRES")</f>
        <v xml:space="preserve">   AUTRES</v>
      </c>
      <c r="C721">
        <v>1813</v>
      </c>
      <c r="D721">
        <v>23147185</v>
      </c>
    </row>
    <row r="722" spans="1:4" x14ac:dyDescent="0.25">
      <c r="A722" t="str">
        <f>T("   940410")</f>
        <v xml:space="preserve">   940410</v>
      </c>
      <c r="B722" t="str">
        <f>T("   Sommiers")</f>
        <v xml:space="preserve">   Sommiers</v>
      </c>
      <c r="C722">
        <v>643</v>
      </c>
      <c r="D722">
        <v>2713836</v>
      </c>
    </row>
    <row r="723" spans="1:4" x14ac:dyDescent="0.25">
      <c r="A723" t="str">
        <f>T("   940600")</f>
        <v xml:space="preserve">   940600</v>
      </c>
      <c r="B723" t="str">
        <f>T("   CONSTRUCTIONS PREFABRIQUEES.")</f>
        <v xml:space="preserve">   CONSTRUCTIONS PREFABRIQUEES.</v>
      </c>
      <c r="C723">
        <v>2883</v>
      </c>
      <c r="D723">
        <v>90157514</v>
      </c>
    </row>
    <row r="724" spans="1:4" x14ac:dyDescent="0.25">
      <c r="A724" t="str">
        <f>T("   960390")</f>
        <v xml:space="preserve">   960390</v>
      </c>
      <c r="B724" t="str">
        <f>T("   AUTRES")</f>
        <v xml:space="preserve">   AUTRES</v>
      </c>
      <c r="C724">
        <v>1</v>
      </c>
      <c r="D724">
        <v>35350</v>
      </c>
    </row>
    <row r="725" spans="1:4" s="1" customFormat="1" x14ac:dyDescent="0.25">
      <c r="A725" s="1" t="str">
        <f>T("   ZZ_Total_Produit_SH6")</f>
        <v xml:space="preserve">   ZZ_Total_Produit_SH6</v>
      </c>
      <c r="B725" s="1" t="str">
        <f>T("   ZZ_Total_Produit_SH6")</f>
        <v xml:space="preserve">   ZZ_Total_Produit_SH6</v>
      </c>
      <c r="C725" s="1">
        <v>5951674.3799999999</v>
      </c>
      <c r="D725" s="1">
        <v>70510387532</v>
      </c>
    </row>
    <row r="726" spans="1:4" s="1" customFormat="1" x14ac:dyDescent="0.25">
      <c r="B726" s="1" t="str">
        <f>T("Royaume-Uni")</f>
        <v>Royaume-Uni</v>
      </c>
    </row>
    <row r="727" spans="1:4" x14ac:dyDescent="0.25">
      <c r="A727" t="str">
        <f>T("   392390")</f>
        <v xml:space="preserve">   392390</v>
      </c>
      <c r="B727" t="str">
        <f>T("   AUTRES")</f>
        <v xml:space="preserve">   AUTRES</v>
      </c>
      <c r="C727">
        <v>2600</v>
      </c>
      <c r="D727">
        <v>1252706</v>
      </c>
    </row>
    <row r="728" spans="1:4" x14ac:dyDescent="0.25">
      <c r="A728" t="str">
        <f>T("   401699")</f>
        <v xml:space="preserve">   401699</v>
      </c>
      <c r="B728" t="str">
        <f>T("   AUTRES")</f>
        <v xml:space="preserve">   AUTRES</v>
      </c>
      <c r="C728">
        <v>1</v>
      </c>
      <c r="D728">
        <v>49815</v>
      </c>
    </row>
    <row r="729" spans="1:4" x14ac:dyDescent="0.25">
      <c r="A729" t="str">
        <f>T("   480261")</f>
        <v xml:space="preserve">   480261</v>
      </c>
      <c r="B729" t="str">
        <f>T("   EN ROULEAUX")</f>
        <v xml:space="preserve">   EN ROULEAUX</v>
      </c>
      <c r="C729">
        <v>1</v>
      </c>
      <c r="D729">
        <v>19701</v>
      </c>
    </row>
    <row r="730" spans="1:4" x14ac:dyDescent="0.25">
      <c r="A730" t="str">
        <f>T("   491191")</f>
        <v xml:space="preserve">   491191</v>
      </c>
      <c r="B730" t="str">
        <f>T("   IMAGES, GRAVURES ET PHOTOGRAPHIES")</f>
        <v xml:space="preserve">   IMAGES, GRAVURES ET PHOTOGRAPHIES</v>
      </c>
      <c r="C730">
        <v>32</v>
      </c>
      <c r="D730">
        <v>2401049</v>
      </c>
    </row>
    <row r="731" spans="1:4" x14ac:dyDescent="0.25">
      <c r="A731" t="str">
        <f>T("   520100")</f>
        <v xml:space="preserve">   520100</v>
      </c>
      <c r="B731" t="str">
        <f>T("   COTON, NON CARDE NI PEIGNE.")</f>
        <v xml:space="preserve">   COTON, NON CARDE NI PEIGNE.</v>
      </c>
      <c r="C731">
        <v>299276</v>
      </c>
      <c r="D731">
        <v>276330998</v>
      </c>
    </row>
    <row r="732" spans="1:4" x14ac:dyDescent="0.25">
      <c r="A732" t="str">
        <f>T("   731930")</f>
        <v xml:space="preserve">   731930</v>
      </c>
      <c r="B732" t="str">
        <f>T("   AUTRES EPINGLES, EN FER OU ACIER")</f>
        <v xml:space="preserve">   AUTRES EPINGLES, EN FER OU ACIER</v>
      </c>
      <c r="C732">
        <v>12</v>
      </c>
      <c r="D732">
        <v>183406</v>
      </c>
    </row>
    <row r="733" spans="1:4" x14ac:dyDescent="0.25">
      <c r="A733" t="str">
        <f>T("   761490")</f>
        <v xml:space="preserve">   761490</v>
      </c>
      <c r="B733" t="str">
        <f>T("   AUTRES")</f>
        <v xml:space="preserve">   AUTRES</v>
      </c>
      <c r="C733">
        <v>364</v>
      </c>
      <c r="D733">
        <v>23743223</v>
      </c>
    </row>
    <row r="734" spans="1:4" x14ac:dyDescent="0.25">
      <c r="A734" t="str">
        <f>T("   820559")</f>
        <v xml:space="preserve">   820559</v>
      </c>
      <c r="B734" t="str">
        <f>T("   AUTRES")</f>
        <v xml:space="preserve">   AUTRES</v>
      </c>
      <c r="C734">
        <v>200</v>
      </c>
      <c r="D734">
        <v>94357764</v>
      </c>
    </row>
    <row r="735" spans="1:4" x14ac:dyDescent="0.25">
      <c r="A735" t="str">
        <f>T("   820719")</f>
        <v xml:space="preserve">   820719</v>
      </c>
      <c r="B735" t="str">
        <f>T("   AUTRES, Y COMPRIS LES PARTIES")</f>
        <v xml:space="preserve">   AUTRES, Y COMPRIS LES PARTIES</v>
      </c>
      <c r="C735">
        <v>6</v>
      </c>
      <c r="D735">
        <v>4779802</v>
      </c>
    </row>
    <row r="736" spans="1:4" x14ac:dyDescent="0.25">
      <c r="A736" t="str">
        <f>T("   841370")</f>
        <v xml:space="preserve">   841370</v>
      </c>
      <c r="B736" t="str">
        <f>T("   Autres pompes centrifuges")</f>
        <v xml:space="preserve">   Autres pompes centrifuges</v>
      </c>
      <c r="C736">
        <v>4400</v>
      </c>
      <c r="D736">
        <v>59980968</v>
      </c>
    </row>
    <row r="737" spans="1:4" x14ac:dyDescent="0.25">
      <c r="A737" t="str">
        <f>T("   841480")</f>
        <v xml:space="preserve">   841480</v>
      </c>
      <c r="B737" t="str">
        <f>T("   AUTRES")</f>
        <v xml:space="preserve">   AUTRES</v>
      </c>
      <c r="C737">
        <v>10000</v>
      </c>
      <c r="D737">
        <v>79896813</v>
      </c>
    </row>
    <row r="738" spans="1:4" x14ac:dyDescent="0.25">
      <c r="A738" t="str">
        <f>T("   842121")</f>
        <v xml:space="preserve">   842121</v>
      </c>
      <c r="B738" t="str">
        <f>T("   POUR LA FILTRATION OU L'EPURATION DES EAUX")</f>
        <v xml:space="preserve">   POUR LA FILTRATION OU L'EPURATION DES EAUX</v>
      </c>
      <c r="C738">
        <v>22020</v>
      </c>
      <c r="D738">
        <v>105787329</v>
      </c>
    </row>
    <row r="739" spans="1:4" x14ac:dyDescent="0.25">
      <c r="A739" t="str">
        <f>T("   842539")</f>
        <v xml:space="preserve">   842539</v>
      </c>
      <c r="B739" t="str">
        <f>T("   AUTRES")</f>
        <v xml:space="preserve">   AUTRES</v>
      </c>
      <c r="C739">
        <v>3379</v>
      </c>
      <c r="D739">
        <v>50049999</v>
      </c>
    </row>
    <row r="740" spans="1:4" x14ac:dyDescent="0.25">
      <c r="A740" t="str">
        <f>T("   842542")</f>
        <v xml:space="preserve">   842542</v>
      </c>
      <c r="B740" t="str">
        <f>T("   AUTRES CRICS ET VERINS, HYDRAULIQUES")</f>
        <v xml:space="preserve">   AUTRES CRICS ET VERINS, HYDRAULIQUES</v>
      </c>
      <c r="C740">
        <v>30</v>
      </c>
      <c r="D740">
        <v>582539</v>
      </c>
    </row>
    <row r="741" spans="1:4" x14ac:dyDescent="0.25">
      <c r="A741" t="str">
        <f>T("   843143")</f>
        <v xml:space="preserve">   843143</v>
      </c>
      <c r="B741" t="str">
        <f>T("   PARTIES DE MACHINES DE SONDAGE OU DE FORAGE DES N°S 8430.41 OU 8430.49")</f>
        <v xml:space="preserve">   PARTIES DE MACHINES DE SONDAGE OU DE FORAGE DES N°S 8430.41 OU 8430.49</v>
      </c>
      <c r="C741">
        <v>41500</v>
      </c>
      <c r="D741">
        <v>15569208</v>
      </c>
    </row>
    <row r="742" spans="1:4" x14ac:dyDescent="0.25">
      <c r="A742" t="str">
        <f>T("   843149")</f>
        <v xml:space="preserve">   843149</v>
      </c>
      <c r="B742" t="str">
        <f>T("   AUTRES")</f>
        <v xml:space="preserve">   AUTRES</v>
      </c>
      <c r="C742">
        <v>1055</v>
      </c>
      <c r="D742">
        <v>24465431</v>
      </c>
    </row>
    <row r="743" spans="1:4" x14ac:dyDescent="0.25">
      <c r="A743" t="str">
        <f>T("   847150")</f>
        <v xml:space="preserve">   847150</v>
      </c>
      <c r="B743" t="str">
        <f>T("   UNITES DE TRAITEMENT AUTRES QUE CELLES DES N°S 8471.41 OU 8471.49, POUVANT COMPORTER,")</f>
        <v xml:space="preserve">   UNITES DE TRAITEMENT AUTRES QUE CELLES DES N°S 8471.41 OU 8471.49, POUVANT COMPORTER,</v>
      </c>
      <c r="C743">
        <v>243</v>
      </c>
      <c r="D743">
        <v>3604767</v>
      </c>
    </row>
    <row r="744" spans="1:4" x14ac:dyDescent="0.25">
      <c r="A744" t="str">
        <f>T("   848180")</f>
        <v xml:space="preserve">   848180</v>
      </c>
      <c r="B744" t="str">
        <f>T("   Autres articles de robinetterie et organes similaires")</f>
        <v xml:space="preserve">   Autres articles de robinetterie et organes similaires</v>
      </c>
      <c r="C744">
        <v>3</v>
      </c>
      <c r="D744">
        <v>281190</v>
      </c>
    </row>
    <row r="745" spans="1:4" x14ac:dyDescent="0.25">
      <c r="A745" t="str">
        <f>T("   850440")</f>
        <v xml:space="preserve">   850440</v>
      </c>
      <c r="B745" t="str">
        <f>T("   CONVERTISSEURS STATIQUES")</f>
        <v xml:space="preserve">   CONVERTISSEURS STATIQUES</v>
      </c>
      <c r="C745">
        <v>3745</v>
      </c>
      <c r="D745">
        <v>55467607</v>
      </c>
    </row>
    <row r="746" spans="1:4" x14ac:dyDescent="0.25">
      <c r="A746" t="str">
        <f>T("   850780")</f>
        <v xml:space="preserve">   850780</v>
      </c>
      <c r="B746" t="str">
        <f>T("   AUTRES ACCUMULATEURS")</f>
        <v xml:space="preserve">   AUTRES ACCUMULATEURS</v>
      </c>
      <c r="C746">
        <v>4</v>
      </c>
      <c r="D746">
        <v>8669466</v>
      </c>
    </row>
    <row r="747" spans="1:4" x14ac:dyDescent="0.25">
      <c r="A747" t="str">
        <f>T("   851769")</f>
        <v xml:space="preserve">   851769</v>
      </c>
      <c r="B747" t="str">
        <f>T("   AUTRES")</f>
        <v xml:space="preserve">   AUTRES</v>
      </c>
      <c r="C747">
        <v>727</v>
      </c>
      <c r="D747">
        <v>10769491</v>
      </c>
    </row>
    <row r="748" spans="1:4" x14ac:dyDescent="0.25">
      <c r="A748" t="str">
        <f>T("   853180")</f>
        <v xml:space="preserve">   853180</v>
      </c>
      <c r="B748" t="str">
        <f>T("   AUTRES APPAREILS")</f>
        <v xml:space="preserve">   AUTRES APPAREILS</v>
      </c>
      <c r="C748">
        <v>14</v>
      </c>
      <c r="D748">
        <v>208120</v>
      </c>
    </row>
    <row r="749" spans="1:4" x14ac:dyDescent="0.25">
      <c r="A749" t="str">
        <f>T("   853641")</f>
        <v xml:space="preserve">   853641</v>
      </c>
      <c r="B749" t="str">
        <f>T("   POUR UNE TENSION N'EXCEDANT PAS 60 V")</f>
        <v xml:space="preserve">   POUR UNE TENSION N'EXCEDANT PAS 60 V</v>
      </c>
      <c r="C749">
        <v>1106</v>
      </c>
      <c r="D749">
        <v>16374804</v>
      </c>
    </row>
    <row r="750" spans="1:4" x14ac:dyDescent="0.25">
      <c r="A750" t="str">
        <f>T("   860900")</f>
        <v xml:space="preserve">   860900</v>
      </c>
      <c r="B750" t="str">
        <f>T("   CADRES ET CONTENEURS (Y COMPRIS LES CONTENEURSCITERNES ET LES CONTENEURSRESERVOIRS) S")</f>
        <v xml:space="preserve">   CADRES ET CONTENEURS (Y COMPRIS LES CONTENEURSCITERNES ET LES CONTENEURSRESERVOIRS) S</v>
      </c>
      <c r="C750">
        <v>27100</v>
      </c>
      <c r="D750">
        <v>141664108</v>
      </c>
    </row>
    <row r="751" spans="1:4" x14ac:dyDescent="0.25">
      <c r="A751" t="str">
        <f>T("   880330")</f>
        <v xml:space="preserve">   880330</v>
      </c>
      <c r="B751" t="str">
        <f>T("   AUTRES PARTIES D'AVIONS OU D'HELICOPTERES")</f>
        <v xml:space="preserve">   AUTRES PARTIES D'AVIONS OU D'HELICOPTERES</v>
      </c>
      <c r="C751">
        <v>53.8</v>
      </c>
      <c r="D751">
        <v>789679144</v>
      </c>
    </row>
    <row r="752" spans="1:4" x14ac:dyDescent="0.25">
      <c r="A752" t="str">
        <f>T("   901580")</f>
        <v xml:space="preserve">   901580</v>
      </c>
      <c r="B752" t="str">
        <f>T("   AUTRES INSTRUMENTS ET APPAREILS")</f>
        <v xml:space="preserve">   AUTRES INSTRUMENTS ET APPAREILS</v>
      </c>
      <c r="C752">
        <v>7556</v>
      </c>
      <c r="D752">
        <v>111917561</v>
      </c>
    </row>
    <row r="753" spans="1:4" x14ac:dyDescent="0.25">
      <c r="A753" t="str">
        <f>T("   901890")</f>
        <v xml:space="preserve">   901890</v>
      </c>
      <c r="B753" t="str">
        <f>T("   AUTRES INSTRUMENTS ET APPAREILS")</f>
        <v xml:space="preserve">   AUTRES INSTRUMENTS ET APPAREILS</v>
      </c>
      <c r="C753">
        <v>29</v>
      </c>
      <c r="D753">
        <v>175000</v>
      </c>
    </row>
    <row r="754" spans="1:4" x14ac:dyDescent="0.25">
      <c r="A754" t="str">
        <f>T("   902620")</f>
        <v xml:space="preserve">   902620</v>
      </c>
      <c r="B754" t="str">
        <f>T("   POUR LA MESURE OU LE CONTROLE DE LA PRESSION")</f>
        <v xml:space="preserve">   POUR LA MESURE OU LE CONTROLE DE LA PRESSION</v>
      </c>
      <c r="C754">
        <v>10</v>
      </c>
      <c r="D754">
        <v>907867</v>
      </c>
    </row>
    <row r="755" spans="1:4" x14ac:dyDescent="0.25">
      <c r="A755" t="str">
        <f>T("   903180")</f>
        <v xml:space="preserve">   903180</v>
      </c>
      <c r="B755" t="str">
        <f>T("   AUTRES INSTRUMENTS, APPAREILS ET MACHINES")</f>
        <v xml:space="preserve">   AUTRES INSTRUMENTS, APPAREILS ET MACHINES</v>
      </c>
      <c r="C755">
        <v>730</v>
      </c>
      <c r="D755">
        <v>10810317</v>
      </c>
    </row>
    <row r="756" spans="1:4" s="1" customFormat="1" x14ac:dyDescent="0.25">
      <c r="A756" s="1" t="str">
        <f>T("   ZZ_Total_Produit_SH6")</f>
        <v xml:space="preserve">   ZZ_Total_Produit_SH6</v>
      </c>
      <c r="B756" s="1" t="str">
        <f>T("   ZZ_Total_Produit_SH6")</f>
        <v xml:space="preserve">   ZZ_Total_Produit_SH6</v>
      </c>
      <c r="C756" s="1">
        <v>426196.8</v>
      </c>
      <c r="D756" s="1">
        <v>1889980193</v>
      </c>
    </row>
    <row r="757" spans="1:4" s="1" customFormat="1" x14ac:dyDescent="0.25">
      <c r="B757" s="1" t="str">
        <f>T("Ghana")</f>
        <v>Ghana</v>
      </c>
    </row>
    <row r="758" spans="1:4" x14ac:dyDescent="0.25">
      <c r="A758" t="str">
        <f>T("   100630")</f>
        <v xml:space="preserve">   100630</v>
      </c>
      <c r="B758" t="str">
        <f>T("   RIZ SEMIBLANCHI OU BLANCHI, MEME POLI OU GLACE")</f>
        <v xml:space="preserve">   RIZ SEMIBLANCHI OU BLANCHI, MEME POLI OU GLACE</v>
      </c>
      <c r="C758">
        <v>270147</v>
      </c>
      <c r="D758">
        <v>64174114</v>
      </c>
    </row>
    <row r="759" spans="1:4" x14ac:dyDescent="0.25">
      <c r="A759" t="str">
        <f>T("   120590")</f>
        <v xml:space="preserve">   120590</v>
      </c>
      <c r="B759" t="str">
        <f>T("   AUTRES")</f>
        <v xml:space="preserve">   AUTRES</v>
      </c>
      <c r="C759">
        <v>1050</v>
      </c>
      <c r="D759">
        <v>125943744</v>
      </c>
    </row>
    <row r="760" spans="1:4" x14ac:dyDescent="0.25">
      <c r="A760" t="str">
        <f>T("   220110")</f>
        <v xml:space="preserve">   220110</v>
      </c>
      <c r="B760" t="str">
        <f>T("   EAUX MINERALES ET EAUX GAZEIFIEES")</f>
        <v xml:space="preserve">   EAUX MINERALES ET EAUX GAZEIFIEES</v>
      </c>
      <c r="C760">
        <v>25856</v>
      </c>
      <c r="D760">
        <v>6284220</v>
      </c>
    </row>
    <row r="761" spans="1:4" x14ac:dyDescent="0.25">
      <c r="A761" t="str">
        <f>T("   230210")</f>
        <v xml:space="preserve">   230210</v>
      </c>
      <c r="B761" t="str">
        <f>T("   DE MAIS")</f>
        <v xml:space="preserve">   DE MAIS</v>
      </c>
      <c r="C761">
        <v>180000</v>
      </c>
      <c r="D761">
        <v>13600000</v>
      </c>
    </row>
    <row r="762" spans="1:4" x14ac:dyDescent="0.25">
      <c r="A762" t="str">
        <f>T("   230400")</f>
        <v xml:space="preserve">   230400</v>
      </c>
      <c r="B762" t="str">
        <f>T("   TOURTEAUX ET AUTRES RESIDUS SOLIDES, MEME BROYES OU AGGLOMERES SOUS FORME DE PELLETS, D")</f>
        <v xml:space="preserve">   TOURTEAUX ET AUTRES RESIDUS SOLIDES, MEME BROYES OU AGGLOMERES SOUS FORME DE PELLETS, D</v>
      </c>
      <c r="C762">
        <v>960020</v>
      </c>
      <c r="D762">
        <v>307505700</v>
      </c>
    </row>
    <row r="763" spans="1:4" x14ac:dyDescent="0.25">
      <c r="A763" t="str">
        <f>T("   230610")</f>
        <v xml:space="preserve">   230610</v>
      </c>
      <c r="B763" t="str">
        <f>T("   DE GRAINES DE COTON")</f>
        <v xml:space="preserve">   DE GRAINES DE COTON</v>
      </c>
      <c r="C763">
        <v>2586252</v>
      </c>
      <c r="D763">
        <v>367048020</v>
      </c>
    </row>
    <row r="764" spans="1:4" x14ac:dyDescent="0.25">
      <c r="A764" t="str">
        <f>T("   251110")</f>
        <v xml:space="preserve">   251110</v>
      </c>
      <c r="B764" t="str">
        <f>T("   SULFATE DE BARYUM NATUREL (BARYTINE)")</f>
        <v xml:space="preserve">   SULFATE DE BARYUM NATUREL (BARYTINE)</v>
      </c>
      <c r="C764">
        <v>10907</v>
      </c>
      <c r="D764">
        <v>125887789</v>
      </c>
    </row>
    <row r="765" spans="1:4" x14ac:dyDescent="0.25">
      <c r="A765" t="str">
        <f>T("   280430")</f>
        <v xml:space="preserve">   280430</v>
      </c>
      <c r="B765" t="str">
        <f>T("   Azote")</f>
        <v xml:space="preserve">   Azote</v>
      </c>
      <c r="C765">
        <v>33000</v>
      </c>
      <c r="D765">
        <v>14562312</v>
      </c>
    </row>
    <row r="766" spans="1:4" x14ac:dyDescent="0.25">
      <c r="A766" t="str">
        <f>T("   283650")</f>
        <v xml:space="preserve">   283650</v>
      </c>
      <c r="B766" t="str">
        <f>T("   Carbonate de calcium")</f>
        <v xml:space="preserve">   Carbonate de calcium</v>
      </c>
      <c r="C766">
        <v>10000</v>
      </c>
      <c r="D766">
        <v>2260000</v>
      </c>
    </row>
    <row r="767" spans="1:4" x14ac:dyDescent="0.25">
      <c r="A767" t="str">
        <f>T("   284440")</f>
        <v xml:space="preserve">   284440</v>
      </c>
      <c r="B767" t="str">
        <f>T("   ELEMENTS ET ISOTOPES ET COMPOSES RADIOACTIFS AUTRES QUE CEUX DES N°S 2844.10, 2844.20")</f>
        <v xml:space="preserve">   ELEMENTS ET ISOTOPES ET COMPOSES RADIOACTIFS AUTRES QUE CEUX DES N°S 2844.10, 2844.20</v>
      </c>
      <c r="C767">
        <v>5070</v>
      </c>
      <c r="D767">
        <v>111058053</v>
      </c>
    </row>
    <row r="768" spans="1:4" x14ac:dyDescent="0.25">
      <c r="A768" t="str">
        <f>T("   350510")</f>
        <v xml:space="preserve">   350510</v>
      </c>
      <c r="B768" t="str">
        <f>T("   Dextrine et autres amidons et fecules modifies")</f>
        <v xml:space="preserve">   Dextrine et autres amidons et fecules modifies</v>
      </c>
      <c r="C768">
        <v>28167.13</v>
      </c>
      <c r="D768">
        <v>20834834</v>
      </c>
    </row>
    <row r="769" spans="1:4" x14ac:dyDescent="0.25">
      <c r="A769" t="str">
        <f>T("   360200")</f>
        <v xml:space="preserve">   360200</v>
      </c>
      <c r="B769" t="str">
        <f>T("   EXPLOSIFS PREPARES, AUTRES QUE LES POUDRES PROPULSIVES.")</f>
        <v xml:space="preserve">   EXPLOSIFS PREPARES, AUTRES QUE LES POUDRES PROPULSIVES.</v>
      </c>
      <c r="C769">
        <v>2484</v>
      </c>
      <c r="D769">
        <v>3641794</v>
      </c>
    </row>
    <row r="770" spans="1:4" x14ac:dyDescent="0.25">
      <c r="A770" t="str">
        <f>T("   360300")</f>
        <v xml:space="preserve">   360300</v>
      </c>
      <c r="B770" t="str">
        <f>T("   MECHES DE SURETE; CORDEAUX DETONANTS; AMORCES ET CAPSULES FULMINANTES; ALLUMEURS; DETON")</f>
        <v xml:space="preserve">   MECHES DE SURETE; CORDEAUX DETONANTS; AMORCES ET CAPSULES FULMINANTES; ALLUMEURS; DETON</v>
      </c>
      <c r="C770">
        <v>3100</v>
      </c>
      <c r="D770">
        <v>34773056</v>
      </c>
    </row>
    <row r="771" spans="1:4" x14ac:dyDescent="0.25">
      <c r="A771" t="str">
        <f>T("   382440")</f>
        <v xml:space="preserve">   382440</v>
      </c>
      <c r="B771" t="str">
        <f>T("   ADDITIFS PREPARES POUR CIMENTS, MORTIERS OU BETONS")</f>
        <v xml:space="preserve">   ADDITIFS PREPARES POUR CIMENTS, MORTIERS OU BETONS</v>
      </c>
      <c r="C771">
        <v>114580</v>
      </c>
      <c r="D771">
        <v>258911397</v>
      </c>
    </row>
    <row r="772" spans="1:4" x14ac:dyDescent="0.25">
      <c r="A772" t="str">
        <f>T("   391590")</f>
        <v xml:space="preserve">   391590</v>
      </c>
      <c r="B772" t="str">
        <f>T("   D'AUTRES MATIERES PLASTIQUES")</f>
        <v xml:space="preserve">   D'AUTRES MATIERES PLASTIQUES</v>
      </c>
      <c r="C772">
        <v>25000</v>
      </c>
      <c r="D772">
        <v>625000</v>
      </c>
    </row>
    <row r="773" spans="1:4" x14ac:dyDescent="0.25">
      <c r="A773" t="str">
        <f>T("   470790")</f>
        <v xml:space="preserve">   470790</v>
      </c>
      <c r="B773" t="str">
        <f>T("   AUTRES, Y COMPRIS LES DECHETS ET REBUTS NON TRIES")</f>
        <v xml:space="preserve">   AUTRES, Y COMPRIS LES DECHETS ET REBUTS NON TRIES</v>
      </c>
      <c r="C773">
        <v>20000</v>
      </c>
      <c r="D773">
        <v>450000</v>
      </c>
    </row>
    <row r="774" spans="1:4" x14ac:dyDescent="0.25">
      <c r="A774" t="str">
        <f>T("   490199")</f>
        <v xml:space="preserve">   490199</v>
      </c>
      <c r="B774" t="str">
        <f>T("   AUTRES")</f>
        <v xml:space="preserve">   AUTRES</v>
      </c>
      <c r="C774">
        <v>2050</v>
      </c>
      <c r="D774">
        <v>2100000</v>
      </c>
    </row>
    <row r="775" spans="1:4" x14ac:dyDescent="0.25">
      <c r="A775" t="str">
        <f>T("   520812")</f>
        <v xml:space="preserve">   520812</v>
      </c>
      <c r="B775" t="str">
        <f>T("   A ARMURE TOILE, D'UN POIDS EXCEDANT 100 G/M²")</f>
        <v xml:space="preserve">   A ARMURE TOILE, D'UN POIDS EXCEDANT 100 G/M²</v>
      </c>
      <c r="C775">
        <v>572018</v>
      </c>
      <c r="D775">
        <v>1487114916</v>
      </c>
    </row>
    <row r="776" spans="1:4" x14ac:dyDescent="0.25">
      <c r="A776" t="str">
        <f>T("   620590")</f>
        <v xml:space="preserve">   620590</v>
      </c>
      <c r="B776" t="str">
        <f>T("   D'AUTRES MATIERES TEXTILES")</f>
        <v xml:space="preserve">   D'AUTRES MATIERES TEXTILES</v>
      </c>
      <c r="C776">
        <v>2500</v>
      </c>
      <c r="D776">
        <v>2100000</v>
      </c>
    </row>
    <row r="777" spans="1:4" x14ac:dyDescent="0.25">
      <c r="A777" t="str">
        <f>T("   720429")</f>
        <v xml:space="preserve">   720429</v>
      </c>
      <c r="B777" t="str">
        <f>T("   AUTRES")</f>
        <v xml:space="preserve">   AUTRES</v>
      </c>
      <c r="C777">
        <v>355000</v>
      </c>
      <c r="D777">
        <v>98614200</v>
      </c>
    </row>
    <row r="778" spans="1:4" x14ac:dyDescent="0.25">
      <c r="A778" t="str">
        <f>T("   730429")</f>
        <v xml:space="preserve">   730429</v>
      </c>
      <c r="B778" t="str">
        <f>T("   AUTRES")</f>
        <v xml:space="preserve">   AUTRES</v>
      </c>
      <c r="C778">
        <v>12630</v>
      </c>
      <c r="D778">
        <v>66859466</v>
      </c>
    </row>
    <row r="779" spans="1:4" x14ac:dyDescent="0.25">
      <c r="A779" t="str">
        <f>T("   730840")</f>
        <v xml:space="preserve">   730840</v>
      </c>
      <c r="B779" t="str">
        <f>T("   MATERIEL D'ECHAFAUDAGE, DE COFFRAGE, D'ETANCONNEMENT OU D'ETAYAGE")</f>
        <v xml:space="preserve">   MATERIEL D'ECHAFAUDAGE, DE COFFRAGE, D'ETANCONNEMENT OU D'ETAYAGE</v>
      </c>
      <c r="C779">
        <v>12500</v>
      </c>
      <c r="D779">
        <v>2033476</v>
      </c>
    </row>
    <row r="780" spans="1:4" x14ac:dyDescent="0.25">
      <c r="A780" t="str">
        <f>T("   730900")</f>
        <v xml:space="preserve">   730900</v>
      </c>
      <c r="B780" t="str">
        <f>T("   RESERVOIRS, FOUDRES, CUVES ET RECIPIENTS SIMILAIRES POUR TOUTES MATIERES (A L'EXCEPTION")</f>
        <v xml:space="preserve">   RESERVOIRS, FOUDRES, CUVES ET RECIPIENTS SIMILAIRES POUR TOUTES MATIERES (A L'EXCEPTION</v>
      </c>
      <c r="C780">
        <v>2320</v>
      </c>
      <c r="D780">
        <v>26332145</v>
      </c>
    </row>
    <row r="781" spans="1:4" x14ac:dyDescent="0.25">
      <c r="A781" t="str">
        <f>T("   731100")</f>
        <v xml:space="preserve">   731100</v>
      </c>
      <c r="B781" t="str">
        <f>T("   RECIPIENTS POUR GAZ COMPRIMES OU LIQUEFIES, EN FONTE, FER OU ACIER.")</f>
        <v xml:space="preserve">   RECIPIENTS POUR GAZ COMPRIMES OU LIQUEFIES, EN FONTE, FER OU ACIER.</v>
      </c>
      <c r="C781">
        <v>21300</v>
      </c>
      <c r="D781">
        <v>74493213</v>
      </c>
    </row>
    <row r="782" spans="1:4" x14ac:dyDescent="0.25">
      <c r="A782" t="str">
        <f>T("   731210")</f>
        <v xml:space="preserve">   731210</v>
      </c>
      <c r="B782" t="str">
        <f>T("   TORONS ET CABLES")</f>
        <v xml:space="preserve">   TORONS ET CABLES</v>
      </c>
      <c r="C782">
        <v>179</v>
      </c>
      <c r="D782">
        <v>3235328</v>
      </c>
    </row>
    <row r="783" spans="1:4" x14ac:dyDescent="0.25">
      <c r="A783" t="str">
        <f>T("   732394")</f>
        <v xml:space="preserve">   732394</v>
      </c>
      <c r="B783" t="str">
        <f>T("   EN FER OU EN ACIER, EMAILLES")</f>
        <v xml:space="preserve">   EN FER OU EN ACIER, EMAILLES</v>
      </c>
      <c r="C783">
        <v>950</v>
      </c>
      <c r="D783">
        <v>1500000</v>
      </c>
    </row>
    <row r="784" spans="1:4" x14ac:dyDescent="0.25">
      <c r="A784" t="str">
        <f>T("   732690")</f>
        <v xml:space="preserve">   732690</v>
      </c>
      <c r="B784" t="str">
        <f>T("   AUTRES")</f>
        <v xml:space="preserve">   AUTRES</v>
      </c>
      <c r="C784">
        <v>34629</v>
      </c>
      <c r="D784">
        <v>351194619</v>
      </c>
    </row>
    <row r="785" spans="1:4" x14ac:dyDescent="0.25">
      <c r="A785" t="str">
        <f>T("   750890")</f>
        <v xml:space="preserve">   750890</v>
      </c>
      <c r="B785" t="str">
        <f>T("   AUTRES")</f>
        <v xml:space="preserve">   AUTRES</v>
      </c>
      <c r="C785">
        <v>13000</v>
      </c>
      <c r="D785">
        <v>550964743</v>
      </c>
    </row>
    <row r="786" spans="1:4" x14ac:dyDescent="0.25">
      <c r="A786" t="str">
        <f>T("   820559")</f>
        <v xml:space="preserve">   820559</v>
      </c>
      <c r="B786" t="str">
        <f>T("   AUTRES")</f>
        <v xml:space="preserve">   AUTRES</v>
      </c>
      <c r="C786">
        <v>680</v>
      </c>
      <c r="D786">
        <v>157763327</v>
      </c>
    </row>
    <row r="787" spans="1:4" x14ac:dyDescent="0.25">
      <c r="A787" t="str">
        <f>T("   820719")</f>
        <v xml:space="preserve">   820719</v>
      </c>
      <c r="B787" t="str">
        <f>T("   AUTRES, Y COMPRIS LES PARTIES")</f>
        <v xml:space="preserve">   AUTRES, Y COMPRIS LES PARTIES</v>
      </c>
      <c r="C787">
        <v>2517</v>
      </c>
      <c r="D787">
        <v>113121508</v>
      </c>
    </row>
    <row r="788" spans="1:4" x14ac:dyDescent="0.25">
      <c r="A788" t="str">
        <f>T("   820750")</f>
        <v xml:space="preserve">   820750</v>
      </c>
      <c r="B788" t="str">
        <f>T("   OUTILS A PERCER")</f>
        <v xml:space="preserve">   OUTILS A PERCER</v>
      </c>
      <c r="C788">
        <v>12694</v>
      </c>
      <c r="D788">
        <v>160933928</v>
      </c>
    </row>
    <row r="789" spans="1:4" x14ac:dyDescent="0.25">
      <c r="A789" t="str">
        <f>T("   830400")</f>
        <v xml:space="preserve">   830400</v>
      </c>
      <c r="B789" t="str">
        <f>T("   CLASSEURS, FICHIERS, BOITES DE CLASSEMENT, PORTECOPIES, PLUMIERS, PORTECACHETS ET MAT")</f>
        <v xml:space="preserve">   CLASSEURS, FICHIERS, BOITES DE CLASSEMENT, PORTECOPIES, PLUMIERS, PORTECACHETS ET MAT</v>
      </c>
      <c r="C789">
        <v>534</v>
      </c>
      <c r="D789">
        <v>3680945</v>
      </c>
    </row>
    <row r="790" spans="1:4" x14ac:dyDescent="0.25">
      <c r="A790" t="str">
        <f>T("   841459")</f>
        <v xml:space="preserve">   841459</v>
      </c>
      <c r="B790" t="str">
        <f>T("   AUTRES")</f>
        <v xml:space="preserve">   AUTRES</v>
      </c>
      <c r="C790">
        <v>3240</v>
      </c>
      <c r="D790">
        <v>2389858</v>
      </c>
    </row>
    <row r="791" spans="1:4" x14ac:dyDescent="0.25">
      <c r="A791" t="str">
        <f>T("   842390")</f>
        <v xml:space="preserve">   842390</v>
      </c>
      <c r="B791" t="str">
        <f>T("   POIDS POUR TOUTES BALANCES; PARTIES D'APPAREILS OU INSTRUMENTS DE PESAGE")</f>
        <v xml:space="preserve">   POIDS POUR TOUTES BALANCES; PARTIES D'APPAREILS OU INSTRUMENTS DE PESAGE</v>
      </c>
      <c r="C791">
        <v>17040</v>
      </c>
      <c r="D791">
        <v>18564015</v>
      </c>
    </row>
    <row r="792" spans="1:4" x14ac:dyDescent="0.25">
      <c r="A792" t="str">
        <f>T("   842481")</f>
        <v xml:space="preserve">   842481</v>
      </c>
      <c r="B792" t="str">
        <f>T("   POUR L'AGRICULTURE OU L'HORTICULTURE")</f>
        <v xml:space="preserve">   POUR L'AGRICULTURE OU L'HORTICULTURE</v>
      </c>
      <c r="C792">
        <v>75</v>
      </c>
      <c r="D792">
        <v>35985931</v>
      </c>
    </row>
    <row r="793" spans="1:4" x14ac:dyDescent="0.25">
      <c r="A793" t="str">
        <f>T("   842490")</f>
        <v xml:space="preserve">   842490</v>
      </c>
      <c r="B793" t="str">
        <f>T("   PARTIES")</f>
        <v xml:space="preserve">   PARTIES</v>
      </c>
      <c r="C793">
        <v>212</v>
      </c>
      <c r="D793">
        <v>73973902</v>
      </c>
    </row>
    <row r="794" spans="1:4" x14ac:dyDescent="0.25">
      <c r="A794" t="str">
        <f>T("   842839")</f>
        <v xml:space="preserve">   842839</v>
      </c>
      <c r="B794" t="str">
        <f>T("   AUTRES")</f>
        <v xml:space="preserve">   AUTRES</v>
      </c>
      <c r="C794">
        <v>96908</v>
      </c>
      <c r="D794">
        <v>225889829</v>
      </c>
    </row>
    <row r="795" spans="1:4" x14ac:dyDescent="0.25">
      <c r="A795" t="str">
        <f>T("   843049")</f>
        <v xml:space="preserve">   843049</v>
      </c>
      <c r="B795" t="str">
        <f>T("   AUTRES")</f>
        <v xml:space="preserve">   AUTRES</v>
      </c>
      <c r="C795">
        <v>10000</v>
      </c>
      <c r="D795">
        <v>118420580</v>
      </c>
    </row>
    <row r="796" spans="1:4" x14ac:dyDescent="0.25">
      <c r="A796" t="str">
        <f>T("   843139")</f>
        <v xml:space="preserve">   843139</v>
      </c>
      <c r="B796" t="str">
        <f>T("   AUTRES")</f>
        <v xml:space="preserve">   AUTRES</v>
      </c>
      <c r="C796">
        <v>90495</v>
      </c>
      <c r="D796">
        <v>113407266</v>
      </c>
    </row>
    <row r="797" spans="1:4" x14ac:dyDescent="0.25">
      <c r="A797" t="str">
        <f>T("   843143")</f>
        <v xml:space="preserve">   843143</v>
      </c>
      <c r="B797" t="str">
        <f>T("   PARTIES DE MACHINES DE SONDAGE OU DE FORAGE DES N°S 8430.41 OU 8430.49")</f>
        <v xml:space="preserve">   PARTIES DE MACHINES DE SONDAGE OU DE FORAGE DES N°S 8430.41 OU 8430.49</v>
      </c>
      <c r="C797">
        <v>464172</v>
      </c>
      <c r="D797">
        <v>5072108312</v>
      </c>
    </row>
    <row r="798" spans="1:4" x14ac:dyDescent="0.25">
      <c r="A798" t="str">
        <f>T("   843149")</f>
        <v xml:space="preserve">   843149</v>
      </c>
      <c r="B798" t="str">
        <f>T("   AUTRES")</f>
        <v xml:space="preserve">   AUTRES</v>
      </c>
      <c r="C798">
        <v>289815</v>
      </c>
      <c r="D798">
        <v>1746594312</v>
      </c>
    </row>
    <row r="799" spans="1:4" x14ac:dyDescent="0.25">
      <c r="A799" t="str">
        <f>T("   846291")</f>
        <v xml:space="preserve">   846291</v>
      </c>
      <c r="B799" t="str">
        <f>T("   PRESSES HYDRAULIQUES")</f>
        <v xml:space="preserve">   PRESSES HYDRAULIQUES</v>
      </c>
      <c r="C799">
        <v>12000</v>
      </c>
      <c r="D799">
        <v>19174000</v>
      </c>
    </row>
    <row r="800" spans="1:4" x14ac:dyDescent="0.25">
      <c r="A800" t="str">
        <f>T("   847981")</f>
        <v xml:space="preserve">   847981</v>
      </c>
      <c r="B800" t="str">
        <f>T("   POUR LE TRAITEMENT DES METAUX, Y COMPRIS LES BOBINEUSES POUR ENROULEMENTS ELECTRIQUE")</f>
        <v xml:space="preserve">   POUR LE TRAITEMENT DES METAUX, Y COMPRIS LES BOBINEUSES POUR ENROULEMENTS ELECTRIQUE</v>
      </c>
      <c r="C800">
        <v>27</v>
      </c>
      <c r="D800">
        <v>271851</v>
      </c>
    </row>
    <row r="801" spans="1:4" x14ac:dyDescent="0.25">
      <c r="A801" t="str">
        <f>T("   847989")</f>
        <v xml:space="preserve">   847989</v>
      </c>
      <c r="B801" t="str">
        <f>T("   AUTRES")</f>
        <v xml:space="preserve">   AUTRES</v>
      </c>
      <c r="C801">
        <v>4535</v>
      </c>
      <c r="D801">
        <v>50896422</v>
      </c>
    </row>
    <row r="802" spans="1:4" x14ac:dyDescent="0.25">
      <c r="A802" t="str">
        <f>T("   847990")</f>
        <v xml:space="preserve">   847990</v>
      </c>
      <c r="B802" t="str">
        <f>T("   PARTIES")</f>
        <v xml:space="preserve">   PARTIES</v>
      </c>
      <c r="C802">
        <v>298</v>
      </c>
      <c r="D802">
        <v>6027528</v>
      </c>
    </row>
    <row r="803" spans="1:4" x14ac:dyDescent="0.25">
      <c r="A803" t="str">
        <f>T("   848140")</f>
        <v xml:space="preserve">   848140</v>
      </c>
      <c r="B803" t="str">
        <f>T("   SOUPAPES DE TROPPLEIN OU DE SURETE")</f>
        <v xml:space="preserve">   SOUPAPES DE TROPPLEIN OU DE SURETE</v>
      </c>
      <c r="C803">
        <v>25</v>
      </c>
      <c r="D803">
        <v>2685322</v>
      </c>
    </row>
    <row r="804" spans="1:4" x14ac:dyDescent="0.25">
      <c r="A804" t="str">
        <f>T("   848180")</f>
        <v xml:space="preserve">   848180</v>
      </c>
      <c r="B804" t="str">
        <f>T("   Autres articles de robinetterie et organes similaires")</f>
        <v xml:space="preserve">   Autres articles de robinetterie et organes similaires</v>
      </c>
      <c r="C804">
        <v>415</v>
      </c>
      <c r="D804">
        <v>9273811</v>
      </c>
    </row>
    <row r="805" spans="1:4" x14ac:dyDescent="0.25">
      <c r="A805" t="str">
        <f>T("   848490")</f>
        <v xml:space="preserve">   848490</v>
      </c>
      <c r="B805" t="str">
        <f>T("   AUTRES")</f>
        <v xml:space="preserve">   AUTRES</v>
      </c>
      <c r="C805">
        <v>58690</v>
      </c>
      <c r="D805">
        <v>167607228</v>
      </c>
    </row>
    <row r="806" spans="1:4" x14ac:dyDescent="0.25">
      <c r="A806" t="str">
        <f>T("   854370")</f>
        <v xml:space="preserve">   854370</v>
      </c>
      <c r="B806" t="str">
        <f>T("   AUTRES MACHINES ET APPAREILS")</f>
        <v xml:space="preserve">   AUTRES MACHINES ET APPAREILS</v>
      </c>
      <c r="C806">
        <v>43</v>
      </c>
      <c r="D806">
        <v>35985931</v>
      </c>
    </row>
    <row r="807" spans="1:4" x14ac:dyDescent="0.25">
      <c r="A807" t="str">
        <f>T("   854420")</f>
        <v xml:space="preserve">   854420</v>
      </c>
      <c r="B807" t="str">
        <f>T("   Cables coaxiaux et autres conducteurs electriques coaxiaux")</f>
        <v xml:space="preserve">   Cables coaxiaux et autres conducteurs electriques coaxiaux</v>
      </c>
      <c r="C807">
        <v>7.5</v>
      </c>
      <c r="D807">
        <v>499186</v>
      </c>
    </row>
    <row r="808" spans="1:4" x14ac:dyDescent="0.25">
      <c r="A808" t="str">
        <f>T("   860900")</f>
        <v xml:space="preserve">   860900</v>
      </c>
      <c r="B808" t="str">
        <f>T("   CADRES ET CONTENEURS (Y COMPRIS LES CONTENEURSCITERNES ET LES CONTENEURSRESERVOIRS) S")</f>
        <v xml:space="preserve">   CADRES ET CONTENEURS (Y COMPRIS LES CONTENEURSCITERNES ET LES CONTENEURSRESERVOIRS) S</v>
      </c>
      <c r="C808">
        <v>418519</v>
      </c>
      <c r="D808">
        <v>145790499</v>
      </c>
    </row>
    <row r="809" spans="1:4" x14ac:dyDescent="0.25">
      <c r="A809" t="str">
        <f>T("   870120")</f>
        <v xml:space="preserve">   870120</v>
      </c>
      <c r="B809" t="str">
        <f>T("   TRACTEURS ROUTIERS POUR SEMIREMORQUES")</f>
        <v xml:space="preserve">   TRACTEURS ROUTIERS POUR SEMIREMORQUES</v>
      </c>
      <c r="C809">
        <v>34092</v>
      </c>
      <c r="D809">
        <v>50442451</v>
      </c>
    </row>
    <row r="810" spans="1:4" x14ac:dyDescent="0.25">
      <c r="A810" t="str">
        <f>T("   901410")</f>
        <v xml:space="preserve">   901410</v>
      </c>
      <c r="B810" t="str">
        <f>T("   BOUSSOLES, Y COMPRIS LES COMPAS DE NAVIGATION")</f>
        <v xml:space="preserve">   BOUSSOLES, Y COMPRIS LES COMPAS DE NAVIGATION</v>
      </c>
      <c r="C810">
        <v>37328</v>
      </c>
      <c r="D810">
        <v>754536494</v>
      </c>
    </row>
    <row r="811" spans="1:4" x14ac:dyDescent="0.25">
      <c r="A811" t="str">
        <f>T("   901580")</f>
        <v xml:space="preserve">   901580</v>
      </c>
      <c r="B811" t="str">
        <f>T("   AUTRES INSTRUMENTS ET APPAREILS")</f>
        <v xml:space="preserve">   AUTRES INSTRUMENTS ET APPAREILS</v>
      </c>
      <c r="C811">
        <v>16274</v>
      </c>
      <c r="D811">
        <v>328952918</v>
      </c>
    </row>
    <row r="812" spans="1:4" x14ac:dyDescent="0.25">
      <c r="A812" t="str">
        <f>T("   901590")</f>
        <v xml:space="preserve">   901590</v>
      </c>
      <c r="B812" t="str">
        <f>T("   PARTIES ET ACCESSOIRES")</f>
        <v xml:space="preserve">   PARTIES ET ACCESSOIRES</v>
      </c>
      <c r="C812">
        <v>87284</v>
      </c>
      <c r="D812">
        <v>381462220</v>
      </c>
    </row>
    <row r="813" spans="1:4" x14ac:dyDescent="0.25">
      <c r="A813" t="str">
        <f>T("   901780")</f>
        <v xml:space="preserve">   901780</v>
      </c>
      <c r="B813" t="str">
        <f>T("   AUTRES INSTRUMENTS")</f>
        <v xml:space="preserve">   AUTRES INSTRUMENTS</v>
      </c>
      <c r="C813">
        <v>188</v>
      </c>
      <c r="D813">
        <v>1892503</v>
      </c>
    </row>
    <row r="814" spans="1:4" x14ac:dyDescent="0.25">
      <c r="A814" t="str">
        <f>T("   902620")</f>
        <v xml:space="preserve">   902620</v>
      </c>
      <c r="B814" t="str">
        <f>T("   POUR LA MESURE OU LE CONTROLE DE LA PRESSION")</f>
        <v xml:space="preserve">   POUR LA MESURE OU LE CONTROLE DE LA PRESSION</v>
      </c>
      <c r="C814">
        <v>3569</v>
      </c>
      <c r="D814">
        <v>122552122</v>
      </c>
    </row>
    <row r="815" spans="1:4" x14ac:dyDescent="0.25">
      <c r="A815" t="str">
        <f>T("   903089")</f>
        <v xml:space="preserve">   903089</v>
      </c>
      <c r="B815" t="str">
        <f>T("   AUTRES")</f>
        <v xml:space="preserve">   AUTRES</v>
      </c>
      <c r="C815">
        <v>37720</v>
      </c>
      <c r="D815">
        <v>529616685</v>
      </c>
    </row>
    <row r="816" spans="1:4" x14ac:dyDescent="0.25">
      <c r="A816" t="str">
        <f>T("   903289")</f>
        <v xml:space="preserve">   903289</v>
      </c>
      <c r="B816" t="str">
        <f>T("   AUTRES")</f>
        <v xml:space="preserve">   AUTRES</v>
      </c>
      <c r="C816">
        <v>70</v>
      </c>
      <c r="D816">
        <v>4481562</v>
      </c>
    </row>
    <row r="817" spans="1:4" x14ac:dyDescent="0.25">
      <c r="A817" t="str">
        <f>T("   940350")</f>
        <v xml:space="preserve">   940350</v>
      </c>
      <c r="B817" t="str">
        <f>T("   MEUBLES EN BOIS DES TYPES UTILISES DANS LES CHAMBRES A COUCHER")</f>
        <v xml:space="preserve">   MEUBLES EN BOIS DES TYPES UTILISES DANS LES CHAMBRES A COUCHER</v>
      </c>
      <c r="C817">
        <v>5780</v>
      </c>
      <c r="D817">
        <v>4300000</v>
      </c>
    </row>
    <row r="818" spans="1:4" s="1" customFormat="1" x14ac:dyDescent="0.25">
      <c r="A818" s="1" t="str">
        <f>T("   ZZ_Total_Produit_SH6")</f>
        <v xml:space="preserve">   ZZ_Total_Produit_SH6</v>
      </c>
      <c r="B818" s="1" t="str">
        <f>T("   ZZ_Total_Produit_SH6")</f>
        <v xml:space="preserve">   ZZ_Total_Produit_SH6</v>
      </c>
      <c r="C818" s="1">
        <v>7009955.6299999999</v>
      </c>
      <c r="D818" s="1">
        <v>14583384585</v>
      </c>
    </row>
    <row r="819" spans="1:4" s="1" customFormat="1" x14ac:dyDescent="0.25">
      <c r="B819" s="1" t="str">
        <f>T("Gambie")</f>
        <v>Gambie</v>
      </c>
    </row>
    <row r="820" spans="1:4" x14ac:dyDescent="0.25">
      <c r="A820" t="str">
        <f>T("   551519")</f>
        <v xml:space="preserve">   551519</v>
      </c>
      <c r="B820" t="str">
        <f>T("   AUTRES")</f>
        <v xml:space="preserve">   AUTRES</v>
      </c>
      <c r="C820">
        <v>5000</v>
      </c>
      <c r="D820">
        <v>2962481</v>
      </c>
    </row>
    <row r="821" spans="1:4" s="1" customFormat="1" x14ac:dyDescent="0.25">
      <c r="A821" s="1" t="str">
        <f>T("   ZZ_Total_Produit_SH6")</f>
        <v xml:space="preserve">   ZZ_Total_Produit_SH6</v>
      </c>
      <c r="B821" s="1" t="str">
        <f>T("   ZZ_Total_Produit_SH6")</f>
        <v xml:space="preserve">   ZZ_Total_Produit_SH6</v>
      </c>
      <c r="C821" s="1">
        <v>5000</v>
      </c>
      <c r="D821" s="1">
        <v>2962481</v>
      </c>
    </row>
    <row r="822" spans="1:4" s="1" customFormat="1" x14ac:dyDescent="0.25">
      <c r="B822" s="1" t="str">
        <f>T("Guinée")</f>
        <v>Guinée</v>
      </c>
    </row>
    <row r="823" spans="1:4" x14ac:dyDescent="0.25">
      <c r="A823" t="str">
        <f>T("   110290")</f>
        <v xml:space="preserve">   110290</v>
      </c>
      <c r="B823" t="str">
        <f>T("   AUTRES")</f>
        <v xml:space="preserve">   AUTRES</v>
      </c>
      <c r="C823">
        <v>1201922</v>
      </c>
      <c r="D823">
        <v>679436493</v>
      </c>
    </row>
    <row r="824" spans="1:4" x14ac:dyDescent="0.25">
      <c r="A824" t="str">
        <f>T("   121230")</f>
        <v xml:space="preserve">   121230</v>
      </c>
      <c r="B824" t="str">
        <f>T("   NOYAUX,AMANDES D'ABRICOTS,PECHES,PRUNES,DESTINES A L'ALIMENTATION HUMAINE")</f>
        <v xml:space="preserve">   NOYAUX,AMANDES D'ABRICOTS,PECHES,PRUNES,DESTINES A L'ALIMENTATION HUMAINE</v>
      </c>
      <c r="C824">
        <v>225</v>
      </c>
      <c r="D824">
        <v>32810969</v>
      </c>
    </row>
    <row r="825" spans="1:4" x14ac:dyDescent="0.25">
      <c r="A825" t="str">
        <f>T("   151620")</f>
        <v xml:space="preserve">   151620</v>
      </c>
      <c r="B825" t="str">
        <f>T("   GRAISSES ET HUILES VEGETALES ET LEURS FRACTIONS")</f>
        <v xml:space="preserve">   GRAISSES ET HUILES VEGETALES ET LEURS FRACTIONS</v>
      </c>
      <c r="C825">
        <v>146768</v>
      </c>
      <c r="D825">
        <v>100000</v>
      </c>
    </row>
    <row r="826" spans="1:4" x14ac:dyDescent="0.25">
      <c r="A826" t="str">
        <f>T("   300490")</f>
        <v xml:space="preserve">   300490</v>
      </c>
      <c r="B826" t="str">
        <f>T("   AUTRES")</f>
        <v xml:space="preserve">   AUTRES</v>
      </c>
      <c r="C826">
        <v>20</v>
      </c>
      <c r="D826">
        <v>85846</v>
      </c>
    </row>
    <row r="827" spans="1:4" x14ac:dyDescent="0.25">
      <c r="A827" t="str">
        <f>T("   391732")</f>
        <v xml:space="preserve">   391732</v>
      </c>
      <c r="B827" t="str">
        <f>T("   AUTRES, NON RENFORCES D'AUTRES MATIERES NI AUTREMENT ASSOCIES A D'AUTRES MATIERES, S")</f>
        <v xml:space="preserve">   AUTRES, NON RENFORCES D'AUTRES MATIERES NI AUTREMENT ASSOCIES A D'AUTRES MATIERES, S</v>
      </c>
      <c r="C827">
        <v>85</v>
      </c>
      <c r="D827">
        <v>926000</v>
      </c>
    </row>
    <row r="828" spans="1:4" x14ac:dyDescent="0.25">
      <c r="A828" t="str">
        <f>T("   630900")</f>
        <v xml:space="preserve">   630900</v>
      </c>
      <c r="B828" t="str">
        <f>T("   ARTICLES DE FRIPERIE.")</f>
        <v xml:space="preserve">   ARTICLES DE FRIPERIE.</v>
      </c>
      <c r="C828">
        <v>250</v>
      </c>
      <c r="D828">
        <v>500000</v>
      </c>
    </row>
    <row r="829" spans="1:4" x14ac:dyDescent="0.25">
      <c r="A829" t="str">
        <f>T("   730423")</f>
        <v xml:space="preserve">   730423</v>
      </c>
      <c r="B829" t="str">
        <f>T("   AUTRES TIGES DE FORAGE")</f>
        <v xml:space="preserve">   AUTRES TIGES DE FORAGE</v>
      </c>
      <c r="C829">
        <v>96</v>
      </c>
      <c r="D829">
        <v>1920000</v>
      </c>
    </row>
    <row r="830" spans="1:4" x14ac:dyDescent="0.25">
      <c r="A830" t="str">
        <f>T("   870322")</f>
        <v xml:space="preserve">   870322</v>
      </c>
      <c r="B830" t="str">
        <f>T("   D’UNE CYLINDREE EXCEDANT 1.000 CM³ MAIS N’EXCEDANT PAS 1.500 CM³")</f>
        <v xml:space="preserve">   D’UNE CYLINDREE EXCEDANT 1.000 CM³ MAIS N’EXCEDANT PAS 1.500 CM³</v>
      </c>
      <c r="C830">
        <v>950</v>
      </c>
      <c r="D830">
        <v>1000000</v>
      </c>
    </row>
    <row r="831" spans="1:4" x14ac:dyDescent="0.25">
      <c r="A831" t="str">
        <f>T("   870323")</f>
        <v xml:space="preserve">   870323</v>
      </c>
      <c r="B831" t="str">
        <f>T("   D’UNE CYLINDREE EXCEDANT 1.500 CM³ MAIS N’EXCEDANT PAS 3.000 CM³")</f>
        <v xml:space="preserve">   D’UNE CYLINDREE EXCEDANT 1.500 CM³ MAIS N’EXCEDANT PAS 3.000 CM³</v>
      </c>
      <c r="C831">
        <v>1800</v>
      </c>
      <c r="D831">
        <v>2000000</v>
      </c>
    </row>
    <row r="832" spans="1:4" x14ac:dyDescent="0.25">
      <c r="A832" t="str">
        <f>T("   870422")</f>
        <v xml:space="preserve">   870422</v>
      </c>
      <c r="B832" t="str">
        <f>T("   D'UN POIDS EN CHARGE MAXIMAL EXCEDANT 5 TONNES MAIS N'EXCEDANT PAS 20 TONNES")</f>
        <v xml:space="preserve">   D'UN POIDS EN CHARGE MAXIMAL EXCEDANT 5 TONNES MAIS N'EXCEDANT PAS 20 TONNES</v>
      </c>
      <c r="C832">
        <v>166900</v>
      </c>
      <c r="D832">
        <v>267505142</v>
      </c>
    </row>
    <row r="833" spans="1:4" x14ac:dyDescent="0.25">
      <c r="A833" t="str">
        <f>T("   870423")</f>
        <v xml:space="preserve">   870423</v>
      </c>
      <c r="B833" t="str">
        <f>T("   D'UN POIDS EN CHARGE MAXIMAL EXCEDANT 20 TONNES")</f>
        <v xml:space="preserve">   D'UN POIDS EN CHARGE MAXIMAL EXCEDANT 20 TONNES</v>
      </c>
      <c r="C833">
        <v>19800</v>
      </c>
      <c r="D833">
        <v>49151575</v>
      </c>
    </row>
    <row r="834" spans="1:4" x14ac:dyDescent="0.25">
      <c r="A834" t="str">
        <f>T("   870520")</f>
        <v xml:space="preserve">   870520</v>
      </c>
      <c r="B834" t="str">
        <f>T("   Derricks automobiles pour le sondage ou le forage")</f>
        <v xml:space="preserve">   Derricks automobiles pour le sondage ou le forage</v>
      </c>
      <c r="C834">
        <v>27030</v>
      </c>
      <c r="D834">
        <v>25070874</v>
      </c>
    </row>
    <row r="835" spans="1:4" x14ac:dyDescent="0.25">
      <c r="A835" t="str">
        <f>T("   870899")</f>
        <v xml:space="preserve">   870899</v>
      </c>
      <c r="B835" t="str">
        <f>T("   AUTRES")</f>
        <v xml:space="preserve">   AUTRES</v>
      </c>
      <c r="C835">
        <v>6200</v>
      </c>
      <c r="D835">
        <v>82000248</v>
      </c>
    </row>
    <row r="836" spans="1:4" x14ac:dyDescent="0.25">
      <c r="A836" t="str">
        <f>T("   940360")</f>
        <v xml:space="preserve">   940360</v>
      </c>
      <c r="B836" t="str">
        <f>T("   Autres meubles en bois")</f>
        <v xml:space="preserve">   Autres meubles en bois</v>
      </c>
      <c r="C836">
        <v>1903</v>
      </c>
      <c r="D836">
        <v>3000000</v>
      </c>
    </row>
    <row r="837" spans="1:4" s="1" customFormat="1" x14ac:dyDescent="0.25">
      <c r="A837" s="1" t="str">
        <f>T("   ZZ_Total_Produit_SH6")</f>
        <v xml:space="preserve">   ZZ_Total_Produit_SH6</v>
      </c>
      <c r="B837" s="1" t="str">
        <f>T("   ZZ_Total_Produit_SH6")</f>
        <v xml:space="preserve">   ZZ_Total_Produit_SH6</v>
      </c>
      <c r="C837" s="1">
        <v>1573949</v>
      </c>
      <c r="D837" s="1">
        <v>1145507147</v>
      </c>
    </row>
    <row r="838" spans="1:4" s="1" customFormat="1" x14ac:dyDescent="0.25">
      <c r="B838" s="1" t="str">
        <f>T("Guinée Equatoriale")</f>
        <v>Guinée Equatoriale</v>
      </c>
    </row>
    <row r="839" spans="1:4" x14ac:dyDescent="0.25">
      <c r="A839" t="str">
        <f>T("   040291")</f>
        <v xml:space="preserve">   040291</v>
      </c>
      <c r="B839" t="str">
        <f>T("   SANS ADDITION DE SUCRE OU D'AUTRES EDULCORANTS")</f>
        <v xml:space="preserve">   SANS ADDITION DE SUCRE OU D'AUTRES EDULCORANTS</v>
      </c>
      <c r="C839">
        <v>200</v>
      </c>
      <c r="D839">
        <v>200000</v>
      </c>
    </row>
    <row r="840" spans="1:4" x14ac:dyDescent="0.25">
      <c r="A840" t="str">
        <f>T("   071490")</f>
        <v xml:space="preserve">   071490</v>
      </c>
      <c r="B840" t="str">
        <f>T("   AUTRES")</f>
        <v xml:space="preserve">   AUTRES</v>
      </c>
      <c r="C840">
        <v>200</v>
      </c>
      <c r="D840">
        <v>300000</v>
      </c>
    </row>
    <row r="841" spans="1:4" x14ac:dyDescent="0.25">
      <c r="A841" t="str">
        <f>T("   090111")</f>
        <v xml:space="preserve">   090111</v>
      </c>
      <c r="B841" t="str">
        <f>T("   NON DECAFEINE")</f>
        <v xml:space="preserve">   NON DECAFEINE</v>
      </c>
      <c r="C841">
        <v>200</v>
      </c>
      <c r="D841">
        <v>100000</v>
      </c>
    </row>
    <row r="842" spans="1:4" x14ac:dyDescent="0.25">
      <c r="A842" t="str">
        <f>T("   100890")</f>
        <v xml:space="preserve">   100890</v>
      </c>
      <c r="B842" t="str">
        <f>T("   Autres cereales")</f>
        <v xml:space="preserve">   Autres cereales</v>
      </c>
      <c r="C842">
        <v>2000</v>
      </c>
      <c r="D842">
        <v>2500000</v>
      </c>
    </row>
    <row r="843" spans="1:4" x14ac:dyDescent="0.25">
      <c r="A843" t="str">
        <f>T("   110620")</f>
        <v xml:space="preserve">   110620</v>
      </c>
      <c r="B843" t="str">
        <f>T("   DE SAGOU OU DES RACINES OU TUBERCULES DU N° 07.14")</f>
        <v xml:space="preserve">   DE SAGOU OU DES RACINES OU TUBERCULES DU N° 07.14</v>
      </c>
      <c r="C843">
        <v>29400</v>
      </c>
      <c r="D843">
        <v>3359217</v>
      </c>
    </row>
    <row r="844" spans="1:4" x14ac:dyDescent="0.25">
      <c r="A844" t="str">
        <f>T("   220890")</f>
        <v xml:space="preserve">   220890</v>
      </c>
      <c r="B844" t="str">
        <f>T("   AUTRES")</f>
        <v xml:space="preserve">   AUTRES</v>
      </c>
      <c r="C844">
        <v>15725</v>
      </c>
      <c r="D844">
        <v>1000000</v>
      </c>
    </row>
    <row r="845" spans="1:4" x14ac:dyDescent="0.25">
      <c r="A845" t="str">
        <f>T("   330129")</f>
        <v xml:space="preserve">   330129</v>
      </c>
      <c r="B845" t="str">
        <f>T("   AUTRES")</f>
        <v xml:space="preserve">   AUTRES</v>
      </c>
      <c r="C845">
        <v>500</v>
      </c>
      <c r="D845">
        <v>200000</v>
      </c>
    </row>
    <row r="846" spans="1:4" x14ac:dyDescent="0.25">
      <c r="A846" t="str">
        <f>T("   330499")</f>
        <v xml:space="preserve">   330499</v>
      </c>
      <c r="B846" t="str">
        <f>T("   AUTRES")</f>
        <v xml:space="preserve">   AUTRES</v>
      </c>
      <c r="C846">
        <v>300</v>
      </c>
      <c r="D846">
        <v>300000</v>
      </c>
    </row>
    <row r="847" spans="1:4" x14ac:dyDescent="0.25">
      <c r="A847" t="str">
        <f>T("   392330")</f>
        <v xml:space="preserve">   392330</v>
      </c>
      <c r="B847" t="str">
        <f>T("   BONBONNES, BOUTEILLES, FLACONS ET ARTICLES SIMILAIRES")</f>
        <v xml:space="preserve">   BONBONNES, BOUTEILLES, FLACONS ET ARTICLES SIMILAIRES</v>
      </c>
      <c r="C847">
        <v>10000</v>
      </c>
      <c r="D847">
        <v>500000</v>
      </c>
    </row>
    <row r="848" spans="1:4" x14ac:dyDescent="0.25">
      <c r="A848" t="str">
        <f>T("   392390")</f>
        <v xml:space="preserve">   392390</v>
      </c>
      <c r="B848" t="str">
        <f>T("   AUTRES")</f>
        <v xml:space="preserve">   AUTRES</v>
      </c>
      <c r="C848">
        <v>50</v>
      </c>
      <c r="D848">
        <v>80000</v>
      </c>
    </row>
    <row r="849" spans="1:4" x14ac:dyDescent="0.25">
      <c r="A849" t="str">
        <f>T("   392490")</f>
        <v xml:space="preserve">   392490</v>
      </c>
      <c r="B849" t="str">
        <f>T("   AUTRES")</f>
        <v xml:space="preserve">   AUTRES</v>
      </c>
      <c r="C849">
        <v>650</v>
      </c>
      <c r="D849">
        <v>300000</v>
      </c>
    </row>
    <row r="850" spans="1:4" x14ac:dyDescent="0.25">
      <c r="A850" t="str">
        <f>T("   401220")</f>
        <v xml:space="preserve">   401220</v>
      </c>
      <c r="B850" t="str">
        <f>T("   PNEUMATIQUES USAGES")</f>
        <v xml:space="preserve">   PNEUMATIQUES USAGES</v>
      </c>
      <c r="C850">
        <v>40300</v>
      </c>
      <c r="D850">
        <v>2400633</v>
      </c>
    </row>
    <row r="851" spans="1:4" x14ac:dyDescent="0.25">
      <c r="A851" t="str">
        <f>T("   401390")</f>
        <v xml:space="preserve">   401390</v>
      </c>
      <c r="B851" t="str">
        <f>T("   AUTRES")</f>
        <v xml:space="preserve">   AUTRES</v>
      </c>
      <c r="C851">
        <v>12900</v>
      </c>
      <c r="D851">
        <v>2100000</v>
      </c>
    </row>
    <row r="852" spans="1:4" x14ac:dyDescent="0.25">
      <c r="A852" t="str">
        <f>T("   610829")</f>
        <v xml:space="preserve">   610829</v>
      </c>
      <c r="B852" t="str">
        <f>T("   D'AUTRES MATIERES TEXTILES")</f>
        <v xml:space="preserve">   D'AUTRES MATIERES TEXTILES</v>
      </c>
      <c r="C852">
        <v>200</v>
      </c>
      <c r="D852">
        <v>200000</v>
      </c>
    </row>
    <row r="853" spans="1:4" x14ac:dyDescent="0.25">
      <c r="A853" t="str">
        <f>T("   611420")</f>
        <v xml:space="preserve">   611420</v>
      </c>
      <c r="B853" t="str">
        <f>T("   DE COTON")</f>
        <v xml:space="preserve">   DE COTON</v>
      </c>
      <c r="C853">
        <v>100</v>
      </c>
      <c r="D853">
        <v>200000</v>
      </c>
    </row>
    <row r="854" spans="1:4" x14ac:dyDescent="0.25">
      <c r="A854" t="str">
        <f>T("   621490")</f>
        <v xml:space="preserve">   621490</v>
      </c>
      <c r="B854" t="str">
        <f>T("   D'AUTRES MATIERES TEXTILES")</f>
        <v xml:space="preserve">   D'AUTRES MATIERES TEXTILES</v>
      </c>
      <c r="C854">
        <v>85</v>
      </c>
      <c r="D854">
        <v>100000</v>
      </c>
    </row>
    <row r="855" spans="1:4" x14ac:dyDescent="0.25">
      <c r="A855" t="str">
        <f>T("   630612")</f>
        <v xml:space="preserve">   630612</v>
      </c>
      <c r="B855" t="str">
        <f>T("   DE FIBRES SYNTHETIQUES")</f>
        <v xml:space="preserve">   DE FIBRES SYNTHETIQUES</v>
      </c>
      <c r="C855">
        <v>1269</v>
      </c>
      <c r="D855">
        <v>6298405</v>
      </c>
    </row>
    <row r="856" spans="1:4" x14ac:dyDescent="0.25">
      <c r="A856" t="str">
        <f>T("   640590")</f>
        <v xml:space="preserve">   640590</v>
      </c>
      <c r="B856" t="str">
        <f>T("   AUTRES")</f>
        <v xml:space="preserve">   AUTRES</v>
      </c>
      <c r="C856">
        <v>300</v>
      </c>
      <c r="D856">
        <v>209999</v>
      </c>
    </row>
    <row r="857" spans="1:4" x14ac:dyDescent="0.25">
      <c r="A857" t="str">
        <f>T("   691200")</f>
        <v xml:space="preserve">   691200</v>
      </c>
      <c r="B857" t="str">
        <f>T("   VAISSELLE, AUTRES ARTICLES DE MENAGE OU D'ECONOMIE DOMESTIQUE ET ARTICLES D'HYGIENE OU")</f>
        <v xml:space="preserve">   VAISSELLE, AUTRES ARTICLES DE MENAGE OU D'ECONOMIE DOMESTIQUE ET ARTICLES D'HYGIENE OU</v>
      </c>
      <c r="C857">
        <v>200</v>
      </c>
      <c r="D857">
        <v>99706</v>
      </c>
    </row>
    <row r="858" spans="1:4" x14ac:dyDescent="0.25">
      <c r="A858" t="str">
        <f>T("   721590")</f>
        <v xml:space="preserve">   721590</v>
      </c>
      <c r="B858" t="str">
        <f>T("   AUTRES")</f>
        <v xml:space="preserve">   AUTRES</v>
      </c>
      <c r="C858">
        <v>13000</v>
      </c>
      <c r="D858">
        <v>6999890</v>
      </c>
    </row>
    <row r="859" spans="1:4" x14ac:dyDescent="0.25">
      <c r="A859" t="str">
        <f>T("   731210")</f>
        <v xml:space="preserve">   731210</v>
      </c>
      <c r="B859" t="str">
        <f>T("   TORONS ET CABLES")</f>
        <v xml:space="preserve">   TORONS ET CABLES</v>
      </c>
      <c r="C859">
        <v>414</v>
      </c>
      <c r="D859">
        <v>2052514</v>
      </c>
    </row>
    <row r="860" spans="1:4" x14ac:dyDescent="0.25">
      <c r="A860" t="str">
        <f>T("   732394")</f>
        <v xml:space="preserve">   732394</v>
      </c>
      <c r="B860" t="str">
        <f>T("   EN FER OU EN ACIER, EMAILLES")</f>
        <v xml:space="preserve">   EN FER OU EN ACIER, EMAILLES</v>
      </c>
      <c r="C860">
        <v>620</v>
      </c>
      <c r="D860">
        <v>1000000</v>
      </c>
    </row>
    <row r="861" spans="1:4" x14ac:dyDescent="0.25">
      <c r="A861" t="str">
        <f>T("   760429")</f>
        <v xml:space="preserve">   760429</v>
      </c>
      <c r="B861" t="str">
        <f>T("   AUTRES")</f>
        <v xml:space="preserve">   AUTRES</v>
      </c>
      <c r="C861">
        <v>200</v>
      </c>
      <c r="D861">
        <v>500000</v>
      </c>
    </row>
    <row r="862" spans="1:4" x14ac:dyDescent="0.25">
      <c r="A862" t="str">
        <f>T("   840820")</f>
        <v xml:space="preserve">   840820</v>
      </c>
      <c r="B862" t="str">
        <f>T("   MOTEURS DES TYPES UTILISES POUR LA PROPULSION DE VEHICULES DU CHAPITRE 87")</f>
        <v xml:space="preserve">   MOTEURS DES TYPES UTILISES POUR LA PROPULSION DE VEHICULES DU CHAPITRE 87</v>
      </c>
      <c r="C862">
        <v>13100</v>
      </c>
      <c r="D862">
        <v>1910000</v>
      </c>
    </row>
    <row r="863" spans="1:4" x14ac:dyDescent="0.25">
      <c r="A863" t="str">
        <f>T("   841582")</f>
        <v xml:space="preserve">   841582</v>
      </c>
      <c r="B863" t="str">
        <f>T("   AUTRES, AVEC DISPOSITIF DE REFRIGERATION")</f>
        <v xml:space="preserve">   AUTRES, AVEC DISPOSITIF DE REFRIGERATION</v>
      </c>
      <c r="C863">
        <v>500</v>
      </c>
      <c r="D863">
        <v>200000</v>
      </c>
    </row>
    <row r="864" spans="1:4" x14ac:dyDescent="0.25">
      <c r="A864" t="str">
        <f>T("   841829")</f>
        <v xml:space="preserve">   841829</v>
      </c>
      <c r="B864" t="str">
        <f>T("   AUTRES")</f>
        <v xml:space="preserve">   AUTRES</v>
      </c>
      <c r="C864">
        <v>13000</v>
      </c>
      <c r="D864">
        <v>2000000</v>
      </c>
    </row>
    <row r="865" spans="1:4" x14ac:dyDescent="0.25">
      <c r="A865" t="str">
        <f>T("   850239")</f>
        <v xml:space="preserve">   850239</v>
      </c>
      <c r="B865" t="str">
        <f>T("   AUTRES")</f>
        <v xml:space="preserve">   AUTRES</v>
      </c>
      <c r="C865">
        <v>200</v>
      </c>
      <c r="D865">
        <v>400000</v>
      </c>
    </row>
    <row r="866" spans="1:4" x14ac:dyDescent="0.25">
      <c r="A866" t="str">
        <f>T("   851220")</f>
        <v xml:space="preserve">   851220</v>
      </c>
      <c r="B866" t="str">
        <f>T("   AUTRES APPAREILS D'ECLAIRAGE OU DE SIGNALISATION VISUELLE")</f>
        <v xml:space="preserve">   AUTRES APPAREILS D'ECLAIRAGE OU DE SIGNALISATION VISUELLE</v>
      </c>
      <c r="C866">
        <v>1000</v>
      </c>
      <c r="D866">
        <v>215155</v>
      </c>
    </row>
    <row r="867" spans="1:4" x14ac:dyDescent="0.25">
      <c r="A867" t="str">
        <f>T("   851660")</f>
        <v xml:space="preserve">   851660</v>
      </c>
      <c r="B867" t="str">
        <f>T("   AUTRES FOURS; CUISINIERES, RECHAUDS (Y COMPRIS LES TABLES DE CUISSON), GRILS ET ROTIS")</f>
        <v xml:space="preserve">   AUTRES FOURS; CUISINIERES, RECHAUDS (Y COMPRIS LES TABLES DE CUISSON), GRILS ET ROTIS</v>
      </c>
      <c r="C867">
        <v>200</v>
      </c>
      <c r="D867">
        <v>98394</v>
      </c>
    </row>
    <row r="868" spans="1:4" x14ac:dyDescent="0.25">
      <c r="A868" t="str">
        <f>T("   870322")</f>
        <v xml:space="preserve">   870322</v>
      </c>
      <c r="B868" t="str">
        <f>T("   D’UNE CYLINDREE EXCEDANT 1.000 CM³ MAIS N’EXCEDANT PAS 1.500 CM³")</f>
        <v xml:space="preserve">   D’UNE CYLINDREE EXCEDANT 1.000 CM³ MAIS N’EXCEDANT PAS 1.500 CM³</v>
      </c>
      <c r="C868">
        <v>4820</v>
      </c>
      <c r="D868">
        <v>11866096</v>
      </c>
    </row>
    <row r="869" spans="1:4" x14ac:dyDescent="0.25">
      <c r="A869" t="str">
        <f>T("   870323")</f>
        <v xml:space="preserve">   870323</v>
      </c>
      <c r="B869" t="str">
        <f>T("   D’UNE CYLINDREE EXCEDANT 1.500 CM³ MAIS N’EXCEDANT PAS 3.000 CM³")</f>
        <v xml:space="preserve">   D’UNE CYLINDREE EXCEDANT 1.500 CM³ MAIS N’EXCEDANT PAS 3.000 CM³</v>
      </c>
      <c r="C869">
        <v>7475</v>
      </c>
      <c r="D869">
        <v>13721056</v>
      </c>
    </row>
    <row r="870" spans="1:4" x14ac:dyDescent="0.25">
      <c r="A870" t="str">
        <f>T("   870422")</f>
        <v xml:space="preserve">   870422</v>
      </c>
      <c r="B870" t="str">
        <f>T("   D'UN POIDS EN CHARGE MAXIMAL EXCEDANT 5 TONNES MAIS N'EXCEDANT PAS 20 TONNES")</f>
        <v xml:space="preserve">   D'UN POIDS EN CHARGE MAXIMAL EXCEDANT 5 TONNES MAIS N'EXCEDANT PAS 20 TONNES</v>
      </c>
      <c r="C870">
        <v>9000</v>
      </c>
      <c r="D870">
        <v>2000000</v>
      </c>
    </row>
    <row r="871" spans="1:4" x14ac:dyDescent="0.25">
      <c r="A871" t="str">
        <f>T("   870899")</f>
        <v xml:space="preserve">   870899</v>
      </c>
      <c r="B871" t="str">
        <f>T("   AUTRES")</f>
        <v xml:space="preserve">   AUTRES</v>
      </c>
      <c r="C871">
        <v>4055</v>
      </c>
      <c r="D871">
        <v>3910598</v>
      </c>
    </row>
    <row r="872" spans="1:4" x14ac:dyDescent="0.25">
      <c r="A872" t="str">
        <f>T("   870919")</f>
        <v xml:space="preserve">   870919</v>
      </c>
      <c r="B872" t="str">
        <f>T("   AUTRES")</f>
        <v xml:space="preserve">   AUTRES</v>
      </c>
      <c r="C872">
        <v>1200</v>
      </c>
      <c r="D872">
        <v>2100000</v>
      </c>
    </row>
    <row r="873" spans="1:4" x14ac:dyDescent="0.25">
      <c r="A873" t="str">
        <f>T("   871120")</f>
        <v xml:space="preserve">   871120</v>
      </c>
      <c r="B873" t="str">
        <f>T("   A MOTEUR A PISTON ALTERNATIF, D'UNE CYLINDREE EXCEDANT 50 CM³ MAIS N'EXCEDANT PAS 250")</f>
        <v xml:space="preserve">   A MOTEUR A PISTON ALTERNATIF, D'UNE CYLINDREE EXCEDANT 50 CM³ MAIS N'EXCEDANT PAS 250</v>
      </c>
      <c r="C873">
        <v>900</v>
      </c>
      <c r="D873">
        <v>1100000</v>
      </c>
    </row>
    <row r="874" spans="1:4" x14ac:dyDescent="0.25">
      <c r="A874" t="str">
        <f>T("   871190")</f>
        <v xml:space="preserve">   871190</v>
      </c>
      <c r="B874" t="str">
        <f>T("   AUTRES")</f>
        <v xml:space="preserve">   AUTRES</v>
      </c>
      <c r="C874">
        <v>150</v>
      </c>
      <c r="D874">
        <v>225000</v>
      </c>
    </row>
    <row r="875" spans="1:4" x14ac:dyDescent="0.25">
      <c r="A875" t="str">
        <f>T("   890800")</f>
        <v xml:space="preserve">   890800</v>
      </c>
      <c r="B875" t="str">
        <f>T("   BATEAUX ET AUTRES ENGINS FLOTTANTS A DEPECER.")</f>
        <v xml:space="preserve">   BATEAUX ET AUTRES ENGINS FLOTTANTS A DEPECER.</v>
      </c>
      <c r="C875">
        <v>5100</v>
      </c>
      <c r="D875">
        <v>7871520</v>
      </c>
    </row>
    <row r="876" spans="1:4" s="1" customFormat="1" x14ac:dyDescent="0.25">
      <c r="A876" s="1" t="str">
        <f>T("   ZZ_Total_Produit_SH6")</f>
        <v xml:space="preserve">   ZZ_Total_Produit_SH6</v>
      </c>
      <c r="B876" s="1" t="str">
        <f>T("   ZZ_Total_Produit_SH6")</f>
        <v xml:space="preserve">   ZZ_Total_Produit_SH6</v>
      </c>
      <c r="C876" s="1">
        <v>189513</v>
      </c>
      <c r="D876" s="1">
        <v>78618183</v>
      </c>
    </row>
    <row r="877" spans="1:4" s="1" customFormat="1" x14ac:dyDescent="0.25">
      <c r="B877" s="1" t="str">
        <f>T("Hong-Kong")</f>
        <v>Hong-Kong</v>
      </c>
    </row>
    <row r="878" spans="1:4" x14ac:dyDescent="0.25">
      <c r="A878" t="str">
        <f>T("   120740")</f>
        <v xml:space="preserve">   120740</v>
      </c>
      <c r="B878" t="str">
        <f>T("   GRAINES DE SESAME")</f>
        <v xml:space="preserve">   GRAINES DE SESAME</v>
      </c>
      <c r="C878">
        <v>197340</v>
      </c>
      <c r="D878">
        <v>98670000</v>
      </c>
    </row>
    <row r="879" spans="1:4" x14ac:dyDescent="0.25">
      <c r="A879" t="str">
        <f>T("   630510")</f>
        <v xml:space="preserve">   630510</v>
      </c>
      <c r="B879" t="str">
        <f>T("   DE JUTE OU D'AUTRES FIBRES TEXTILES LIBERIENNES DU N° 53.03")</f>
        <v xml:space="preserve">   DE JUTE OU D'AUTRES FIBRES TEXTILES LIBERIENNES DU N° 53.03</v>
      </c>
      <c r="C879">
        <v>18637</v>
      </c>
      <c r="D879">
        <v>10282469</v>
      </c>
    </row>
    <row r="880" spans="1:4" x14ac:dyDescent="0.25">
      <c r="A880" t="str">
        <f>T("   720429")</f>
        <v xml:space="preserve">   720429</v>
      </c>
      <c r="B880" t="str">
        <f>T("   AUTRES")</f>
        <v xml:space="preserve">   AUTRES</v>
      </c>
      <c r="C880">
        <v>10000</v>
      </c>
      <c r="D880">
        <v>500000</v>
      </c>
    </row>
    <row r="881" spans="1:4" x14ac:dyDescent="0.25">
      <c r="A881" t="str">
        <f>T("   842611")</f>
        <v xml:space="preserve">   842611</v>
      </c>
      <c r="B881" t="str">
        <f>T("   PONTS ROULANTS ET POUTRES ROULANTES, SUR SUPPORTS FIXES")</f>
        <v xml:space="preserve">   PONTS ROULANTS ET POUTRES ROULANTES, SUR SUPPORTS FIXES</v>
      </c>
      <c r="C881">
        <v>65</v>
      </c>
      <c r="D881">
        <v>139411</v>
      </c>
    </row>
    <row r="882" spans="1:4" s="1" customFormat="1" x14ac:dyDescent="0.25">
      <c r="A882" s="1" t="str">
        <f>T("   ZZ_Total_Produit_SH6")</f>
        <v xml:space="preserve">   ZZ_Total_Produit_SH6</v>
      </c>
      <c r="B882" s="1" t="str">
        <f>T("   ZZ_Total_Produit_SH6")</f>
        <v xml:space="preserve">   ZZ_Total_Produit_SH6</v>
      </c>
      <c r="C882" s="1">
        <v>226042</v>
      </c>
      <c r="D882" s="1">
        <v>109591880</v>
      </c>
    </row>
    <row r="883" spans="1:4" s="1" customFormat="1" x14ac:dyDescent="0.25">
      <c r="B883" s="1" t="str">
        <f>T("Heard et McDonald, îles")</f>
        <v>Heard et McDonald, îles</v>
      </c>
    </row>
    <row r="884" spans="1:4" x14ac:dyDescent="0.25">
      <c r="A884" t="str">
        <f>T("   848240")</f>
        <v xml:space="preserve">   848240</v>
      </c>
      <c r="B884" t="str">
        <f>T("   ROULEMENTS A AIGUILLES")</f>
        <v xml:space="preserve">   ROULEMENTS A AIGUILLES</v>
      </c>
      <c r="C884">
        <v>83.5</v>
      </c>
      <c r="D884">
        <v>3928399</v>
      </c>
    </row>
    <row r="885" spans="1:4" s="1" customFormat="1" x14ac:dyDescent="0.25">
      <c r="A885" s="1" t="str">
        <f>T("   ZZ_Total_Produit_SH6")</f>
        <v xml:space="preserve">   ZZ_Total_Produit_SH6</v>
      </c>
      <c r="B885" s="1" t="str">
        <f>T("   ZZ_Total_Produit_SH6")</f>
        <v xml:space="preserve">   ZZ_Total_Produit_SH6</v>
      </c>
      <c r="C885" s="1">
        <v>83.5</v>
      </c>
      <c r="D885" s="1">
        <v>3928399</v>
      </c>
    </row>
    <row r="886" spans="1:4" s="1" customFormat="1" x14ac:dyDescent="0.25">
      <c r="B886" s="1" t="str">
        <f>T("Haïti")</f>
        <v>Haïti</v>
      </c>
    </row>
    <row r="887" spans="1:4" x14ac:dyDescent="0.25">
      <c r="A887" t="str">
        <f>T("   870323")</f>
        <v xml:space="preserve">   870323</v>
      </c>
      <c r="B887" t="str">
        <f>T("   D’UNE CYLINDREE EXCEDANT 1.500 CM³ MAIS N’EXCEDANT PAS 3.000 CM³")</f>
        <v xml:space="preserve">   D’UNE CYLINDREE EXCEDANT 1.500 CM³ MAIS N’EXCEDANT PAS 3.000 CM³</v>
      </c>
      <c r="C887">
        <v>1870</v>
      </c>
      <c r="D887">
        <v>3500000</v>
      </c>
    </row>
    <row r="888" spans="1:4" s="1" customFormat="1" x14ac:dyDescent="0.25">
      <c r="A888" s="1" t="str">
        <f>T("   ZZ_Total_Produit_SH6")</f>
        <v xml:space="preserve">   ZZ_Total_Produit_SH6</v>
      </c>
      <c r="B888" s="1" t="str">
        <f>T("   ZZ_Total_Produit_SH6")</f>
        <v xml:space="preserve">   ZZ_Total_Produit_SH6</v>
      </c>
      <c r="C888" s="1">
        <v>1870</v>
      </c>
      <c r="D888" s="1">
        <v>3500000</v>
      </c>
    </row>
    <row r="889" spans="1:4" s="1" customFormat="1" x14ac:dyDescent="0.25">
      <c r="B889" s="1" t="str">
        <f>T("Indonésie")</f>
        <v>Indonésie</v>
      </c>
    </row>
    <row r="890" spans="1:4" x14ac:dyDescent="0.25">
      <c r="A890" t="str">
        <f>T("   121230")</f>
        <v xml:space="preserve">   121230</v>
      </c>
      <c r="B890" t="str">
        <f>T("   NOYAUX,AMANDES D'ABRICOTS,PECHES,PRUNES,DESTINES A L'ALIMENTATION HUMAINE")</f>
        <v xml:space="preserve">   NOYAUX,AMANDES D'ABRICOTS,PECHES,PRUNES,DESTINES A L'ALIMENTATION HUMAINE</v>
      </c>
      <c r="C890">
        <v>66</v>
      </c>
      <c r="D890">
        <v>20000</v>
      </c>
    </row>
    <row r="891" spans="1:4" x14ac:dyDescent="0.25">
      <c r="A891" t="str">
        <f>T("   520100")</f>
        <v xml:space="preserve">   520100</v>
      </c>
      <c r="B891" t="str">
        <f>T("   COTON, NON CARDE NI PEIGNE.")</f>
        <v xml:space="preserve">   COTON, NON CARDE NI PEIGNE.</v>
      </c>
      <c r="C891">
        <v>15363161</v>
      </c>
      <c r="D891">
        <v>12764175589</v>
      </c>
    </row>
    <row r="892" spans="1:4" x14ac:dyDescent="0.25">
      <c r="A892" t="str">
        <f>T("   520299")</f>
        <v xml:space="preserve">   520299</v>
      </c>
      <c r="B892" t="str">
        <f>T("   AUTRES")</f>
        <v xml:space="preserve">   AUTRES</v>
      </c>
      <c r="C892">
        <v>119077</v>
      </c>
      <c r="D892">
        <v>71446200</v>
      </c>
    </row>
    <row r="893" spans="1:4" s="1" customFormat="1" x14ac:dyDescent="0.25">
      <c r="A893" s="1" t="str">
        <f>T("   ZZ_Total_Produit_SH6")</f>
        <v xml:space="preserve">   ZZ_Total_Produit_SH6</v>
      </c>
      <c r="B893" s="1" t="str">
        <f>T("   ZZ_Total_Produit_SH6")</f>
        <v xml:space="preserve">   ZZ_Total_Produit_SH6</v>
      </c>
      <c r="C893" s="1">
        <v>15482304</v>
      </c>
      <c r="D893" s="1">
        <v>12835641789</v>
      </c>
    </row>
    <row r="894" spans="1:4" s="1" customFormat="1" x14ac:dyDescent="0.25">
      <c r="B894" s="1" t="str">
        <f>T("Inde")</f>
        <v>Inde</v>
      </c>
    </row>
    <row r="895" spans="1:4" x14ac:dyDescent="0.25">
      <c r="A895" t="str">
        <f>T("   030339")</f>
        <v xml:space="preserve">   030339</v>
      </c>
      <c r="B895" t="str">
        <f>T("   AUTRES")</f>
        <v xml:space="preserve">   AUTRES</v>
      </c>
      <c r="C895">
        <v>60000</v>
      </c>
      <c r="D895">
        <v>24000000</v>
      </c>
    </row>
    <row r="896" spans="1:4" x14ac:dyDescent="0.25">
      <c r="A896" t="str">
        <f>T("   040510")</f>
        <v xml:space="preserve">   040510</v>
      </c>
      <c r="B896" t="str">
        <f>T("   BEURRE")</f>
        <v xml:space="preserve">   BEURRE</v>
      </c>
      <c r="C896">
        <v>101300</v>
      </c>
      <c r="D896">
        <v>57498026</v>
      </c>
    </row>
    <row r="897" spans="1:4" x14ac:dyDescent="0.25">
      <c r="A897" t="str">
        <f>T("   080131")</f>
        <v xml:space="preserve">   080131</v>
      </c>
      <c r="B897" t="str">
        <f>T("   EN COQUES")</f>
        <v xml:space="preserve">   EN COQUES</v>
      </c>
      <c r="C897">
        <v>98521702</v>
      </c>
      <c r="D897">
        <v>26924149969</v>
      </c>
    </row>
    <row r="898" spans="1:4" x14ac:dyDescent="0.25">
      <c r="A898" t="str">
        <f>T("   080211")</f>
        <v xml:space="preserve">   080211</v>
      </c>
      <c r="B898" t="str">
        <f>T("   EN COQUES")</f>
        <v xml:space="preserve">   EN COQUES</v>
      </c>
      <c r="C898">
        <v>385940</v>
      </c>
      <c r="D898">
        <v>1929700</v>
      </c>
    </row>
    <row r="899" spans="1:4" x14ac:dyDescent="0.25">
      <c r="A899" t="str">
        <f>T("   080212")</f>
        <v xml:space="preserve">   080212</v>
      </c>
      <c r="B899" t="str">
        <f>T("   SANS COQUES")</f>
        <v xml:space="preserve">   SANS COQUES</v>
      </c>
      <c r="C899">
        <v>446862</v>
      </c>
      <c r="D899">
        <v>67973083</v>
      </c>
    </row>
    <row r="900" spans="1:4" x14ac:dyDescent="0.25">
      <c r="A900" t="str">
        <f>T("   090420")</f>
        <v xml:space="preserve">   090420</v>
      </c>
      <c r="B900" t="str">
        <f>T("   PIMENTS SECHES OU BROYES OU PULVERISES")</f>
        <v xml:space="preserve">   PIMENTS SECHES OU BROYES OU PULVERISES</v>
      </c>
      <c r="C900">
        <v>22907</v>
      </c>
      <c r="D900">
        <v>32069800</v>
      </c>
    </row>
    <row r="901" spans="1:4" x14ac:dyDescent="0.25">
      <c r="A901" t="str">
        <f>T("   120100")</f>
        <v xml:space="preserve">   120100</v>
      </c>
      <c r="B901" t="str">
        <f>T("   Feves de soja,meme concassees")</f>
        <v xml:space="preserve">   Feves de soja,meme concassees</v>
      </c>
      <c r="C901">
        <v>406573</v>
      </c>
      <c r="D901">
        <v>81314600</v>
      </c>
    </row>
    <row r="902" spans="1:4" x14ac:dyDescent="0.25">
      <c r="A902" t="str">
        <f>T("   120740")</f>
        <v xml:space="preserve">   120740</v>
      </c>
      <c r="B902" t="str">
        <f>T("   GRAINES DE SESAME")</f>
        <v xml:space="preserve">   GRAINES DE SESAME</v>
      </c>
      <c r="C902">
        <v>210000</v>
      </c>
      <c r="D902">
        <v>21000000</v>
      </c>
    </row>
    <row r="903" spans="1:4" x14ac:dyDescent="0.25">
      <c r="A903" t="str">
        <f>T("   120799")</f>
        <v xml:space="preserve">   120799</v>
      </c>
      <c r="B903" t="str">
        <f>T("   AUTRES")</f>
        <v xml:space="preserve">   AUTRES</v>
      </c>
      <c r="C903">
        <v>2584542</v>
      </c>
      <c r="D903">
        <v>737543299</v>
      </c>
    </row>
    <row r="904" spans="1:4" x14ac:dyDescent="0.25">
      <c r="A904" t="str">
        <f>T("   230610")</f>
        <v xml:space="preserve">   230610</v>
      </c>
      <c r="B904" t="str">
        <f>T("   DE GRAINES DE COTON")</f>
        <v xml:space="preserve">   DE GRAINES DE COTON</v>
      </c>
      <c r="C904">
        <v>335551</v>
      </c>
      <c r="D904">
        <v>38518908</v>
      </c>
    </row>
    <row r="905" spans="1:4" x14ac:dyDescent="0.25">
      <c r="A905" t="str">
        <f>T("   230690")</f>
        <v xml:space="preserve">   230690</v>
      </c>
      <c r="B905" t="str">
        <f t="shared" ref="B905:B910" si="1">T("   AUTRES")</f>
        <v xml:space="preserve">   AUTRES</v>
      </c>
      <c r="C905">
        <v>1469071</v>
      </c>
      <c r="D905">
        <v>54858346</v>
      </c>
    </row>
    <row r="906" spans="1:4" x14ac:dyDescent="0.25">
      <c r="A906" t="str">
        <f>T("   440290")</f>
        <v xml:space="preserve">   440290</v>
      </c>
      <c r="B906" t="str">
        <f t="shared" si="1"/>
        <v xml:space="preserve">   AUTRES</v>
      </c>
      <c r="C906">
        <v>98000</v>
      </c>
      <c r="D906">
        <v>6300000</v>
      </c>
    </row>
    <row r="907" spans="1:4" x14ac:dyDescent="0.25">
      <c r="A907" t="str">
        <f>T("   440349")</f>
        <v xml:space="preserve">   440349</v>
      </c>
      <c r="B907" t="str">
        <f t="shared" si="1"/>
        <v xml:space="preserve">   AUTRES</v>
      </c>
      <c r="C907">
        <v>28000</v>
      </c>
      <c r="D907">
        <v>2500000</v>
      </c>
    </row>
    <row r="908" spans="1:4" x14ac:dyDescent="0.25">
      <c r="A908" t="str">
        <f>T("   440399")</f>
        <v xml:space="preserve">   440399</v>
      </c>
      <c r="B908" t="str">
        <f t="shared" si="1"/>
        <v xml:space="preserve">   AUTRES</v>
      </c>
      <c r="C908">
        <v>13800000</v>
      </c>
      <c r="D908">
        <v>703600000</v>
      </c>
    </row>
    <row r="909" spans="1:4" x14ac:dyDescent="0.25">
      <c r="A909" t="str">
        <f>T("   440690")</f>
        <v xml:space="preserve">   440690</v>
      </c>
      <c r="B909" t="str">
        <f t="shared" si="1"/>
        <v xml:space="preserve">   AUTRES</v>
      </c>
      <c r="C909">
        <v>9734000</v>
      </c>
      <c r="D909">
        <v>508382869</v>
      </c>
    </row>
    <row r="910" spans="1:4" x14ac:dyDescent="0.25">
      <c r="A910" t="str">
        <f>T("   440729")</f>
        <v xml:space="preserve">   440729</v>
      </c>
      <c r="B910" t="str">
        <f t="shared" si="1"/>
        <v xml:space="preserve">   AUTRES</v>
      </c>
      <c r="C910">
        <v>1793000</v>
      </c>
      <c r="D910">
        <v>2976204011</v>
      </c>
    </row>
    <row r="911" spans="1:4" x14ac:dyDescent="0.25">
      <c r="A911" t="str">
        <f>T("   440921")</f>
        <v xml:space="preserve">   440921</v>
      </c>
      <c r="B911" t="str">
        <f>T("   EN BAMBOU")</f>
        <v xml:space="preserve">   EN BAMBOU</v>
      </c>
      <c r="C911">
        <v>10000</v>
      </c>
      <c r="D911">
        <v>500000</v>
      </c>
    </row>
    <row r="912" spans="1:4" x14ac:dyDescent="0.25">
      <c r="A912" t="str">
        <f>T("   470790")</f>
        <v xml:space="preserve">   470790</v>
      </c>
      <c r="B912" t="str">
        <f>T("   AUTRES, Y COMPRIS LES DECHETS ET REBUTS NON TRIES")</f>
        <v xml:space="preserve">   AUTRES, Y COMPRIS LES DECHETS ET REBUTS NON TRIES</v>
      </c>
      <c r="C912">
        <v>15000</v>
      </c>
      <c r="D912">
        <v>750000</v>
      </c>
    </row>
    <row r="913" spans="1:4" x14ac:dyDescent="0.25">
      <c r="A913" t="str">
        <f>T("   520100")</f>
        <v xml:space="preserve">   520100</v>
      </c>
      <c r="B913" t="str">
        <f>T("   COTON, NON CARDE NI PEIGNE.")</f>
        <v xml:space="preserve">   COTON, NON CARDE NI PEIGNE.</v>
      </c>
      <c r="C913">
        <v>6630324</v>
      </c>
      <c r="D913">
        <v>5819098216</v>
      </c>
    </row>
    <row r="914" spans="1:4" x14ac:dyDescent="0.25">
      <c r="A914" t="str">
        <f>T("   520299")</f>
        <v xml:space="preserve">   520299</v>
      </c>
      <c r="B914" t="str">
        <f>T("   AUTRES")</f>
        <v xml:space="preserve">   AUTRES</v>
      </c>
      <c r="C914">
        <v>15000</v>
      </c>
      <c r="D914">
        <v>2250000</v>
      </c>
    </row>
    <row r="915" spans="1:4" x14ac:dyDescent="0.25">
      <c r="A915" t="str">
        <f>T("   621040")</f>
        <v xml:space="preserve">   621040</v>
      </c>
      <c r="B915" t="str">
        <f>T("   AUTRES VETEMENTS POUR HOMMES OU GARCONNETS")</f>
        <v xml:space="preserve">   AUTRES VETEMENTS POUR HOMMES OU GARCONNETS</v>
      </c>
      <c r="C915">
        <v>21000</v>
      </c>
      <c r="D915">
        <v>3000000</v>
      </c>
    </row>
    <row r="916" spans="1:4" x14ac:dyDescent="0.25">
      <c r="A916" t="str">
        <f>T("   630510")</f>
        <v xml:space="preserve">   630510</v>
      </c>
      <c r="B916" t="str">
        <f>T("   DE JUTE OU D'AUTRES FIBRES TEXTILES LIBERIENNES DU N° 53.03")</f>
        <v xml:space="preserve">   DE JUTE OU D'AUTRES FIBRES TEXTILES LIBERIENNES DU N° 53.03</v>
      </c>
      <c r="C916">
        <v>181258.58</v>
      </c>
      <c r="D916">
        <v>158768395</v>
      </c>
    </row>
    <row r="917" spans="1:4" x14ac:dyDescent="0.25">
      <c r="A917" t="str">
        <f>T("   720429")</f>
        <v xml:space="preserve">   720429</v>
      </c>
      <c r="B917" t="str">
        <f>T("   AUTRES")</f>
        <v xml:space="preserve">   AUTRES</v>
      </c>
      <c r="C917">
        <v>24537000</v>
      </c>
      <c r="D917">
        <v>1229850000</v>
      </c>
    </row>
    <row r="918" spans="1:4" x14ac:dyDescent="0.25">
      <c r="A918" t="str">
        <f>T("   720430")</f>
        <v xml:space="preserve">   720430</v>
      </c>
      <c r="B918" t="str">
        <f>T("   Dechets et debris de fer ou d'acier etames")</f>
        <v xml:space="preserve">   Dechets et debris de fer ou d'acier etames</v>
      </c>
      <c r="C918">
        <v>2400000</v>
      </c>
      <c r="D918">
        <v>120000000</v>
      </c>
    </row>
    <row r="919" spans="1:4" x14ac:dyDescent="0.25">
      <c r="A919" t="str">
        <f>T("   720449")</f>
        <v xml:space="preserve">   720449</v>
      </c>
      <c r="B919" t="str">
        <f>T("   AUTRES")</f>
        <v xml:space="preserve">   AUTRES</v>
      </c>
      <c r="C919">
        <v>1397000</v>
      </c>
      <c r="D919">
        <v>71750000</v>
      </c>
    </row>
    <row r="920" spans="1:4" x14ac:dyDescent="0.25">
      <c r="A920" t="str">
        <f>T("   760200")</f>
        <v xml:space="preserve">   760200</v>
      </c>
      <c r="B920" t="str">
        <f>T("   DECHETS ET DEBRIS D'ALUMINIUM.")</f>
        <v xml:space="preserve">   DECHETS ET DEBRIS D'ALUMINIUM.</v>
      </c>
      <c r="C920">
        <v>1780000</v>
      </c>
      <c r="D920">
        <v>89450000</v>
      </c>
    </row>
    <row r="921" spans="1:4" x14ac:dyDescent="0.25">
      <c r="A921" t="str">
        <f>T("   940350")</f>
        <v xml:space="preserve">   940350</v>
      </c>
      <c r="B921" t="str">
        <f>T("   MEUBLES EN BOIS DES TYPES UTILISES DANS LES CHAMBRES A COUCHER")</f>
        <v xml:space="preserve">   MEUBLES EN BOIS DES TYPES UTILISES DANS LES CHAMBRES A COUCHER</v>
      </c>
      <c r="C921">
        <v>1336</v>
      </c>
      <c r="D921">
        <v>1200000</v>
      </c>
    </row>
    <row r="922" spans="1:4" s="1" customFormat="1" x14ac:dyDescent="0.25">
      <c r="A922" s="1" t="str">
        <f>T("   ZZ_Total_Produit_SH6")</f>
        <v xml:space="preserve">   ZZ_Total_Produit_SH6</v>
      </c>
      <c r="B922" s="1" t="str">
        <f>T("   ZZ_Total_Produit_SH6")</f>
        <v xml:space="preserve">   ZZ_Total_Produit_SH6</v>
      </c>
      <c r="C922" s="1">
        <v>166985366.58000001</v>
      </c>
      <c r="D922" s="1">
        <v>39734459222</v>
      </c>
    </row>
    <row r="923" spans="1:4" s="1" customFormat="1" x14ac:dyDescent="0.25">
      <c r="B923" s="1" t="str">
        <f>T("Italie")</f>
        <v>Italie</v>
      </c>
    </row>
    <row r="924" spans="1:4" x14ac:dyDescent="0.25">
      <c r="A924" t="str">
        <f>T("   080430")</f>
        <v xml:space="preserve">   080430</v>
      </c>
      <c r="B924" t="str">
        <f>T("   ANANAS")</f>
        <v xml:space="preserve">   ANANAS</v>
      </c>
      <c r="C924">
        <v>30000</v>
      </c>
      <c r="D924">
        <v>3000000</v>
      </c>
    </row>
    <row r="925" spans="1:4" x14ac:dyDescent="0.25">
      <c r="A925" t="str">
        <f>T("   120720")</f>
        <v xml:space="preserve">   120720</v>
      </c>
      <c r="B925" t="str">
        <f>T("   GRAINES DE COTON,MEME CONCASSEES")</f>
        <v xml:space="preserve">   GRAINES DE COTON,MEME CONCASSEES</v>
      </c>
      <c r="C925">
        <v>617746</v>
      </c>
      <c r="D925">
        <v>64863330</v>
      </c>
    </row>
    <row r="926" spans="1:4" x14ac:dyDescent="0.25">
      <c r="A926" t="str">
        <f>T("   230690")</f>
        <v xml:space="preserve">   230690</v>
      </c>
      <c r="B926" t="str">
        <f>T("   AUTRES")</f>
        <v xml:space="preserve">   AUTRES</v>
      </c>
      <c r="C926">
        <v>535.79999999999995</v>
      </c>
      <c r="D926">
        <v>17711</v>
      </c>
    </row>
    <row r="927" spans="1:4" x14ac:dyDescent="0.25">
      <c r="A927" t="str">
        <f>T("   440729")</f>
        <v xml:space="preserve">   440729</v>
      </c>
      <c r="B927" t="str">
        <f>T("   AUTRES")</f>
        <v xml:space="preserve">   AUTRES</v>
      </c>
      <c r="C927">
        <v>116000</v>
      </c>
      <c r="D927">
        <v>411412589</v>
      </c>
    </row>
    <row r="928" spans="1:4" x14ac:dyDescent="0.25">
      <c r="A928" t="str">
        <f>T("   440799")</f>
        <v xml:space="preserve">   440799</v>
      </c>
      <c r="B928" t="str">
        <f>T("   AUTRES")</f>
        <v xml:space="preserve">   AUTRES</v>
      </c>
      <c r="C928">
        <v>42090</v>
      </c>
      <c r="D928">
        <v>79769905</v>
      </c>
    </row>
    <row r="929" spans="1:4" x14ac:dyDescent="0.25">
      <c r="A929" t="str">
        <f>T("   490199")</f>
        <v xml:space="preserve">   490199</v>
      </c>
      <c r="B929" t="str">
        <f>T("   AUTRES")</f>
        <v xml:space="preserve">   AUTRES</v>
      </c>
      <c r="C929">
        <v>2000</v>
      </c>
      <c r="D929">
        <v>2000000</v>
      </c>
    </row>
    <row r="930" spans="1:4" x14ac:dyDescent="0.25">
      <c r="A930" t="str">
        <f>T("   720429")</f>
        <v xml:space="preserve">   720429</v>
      </c>
      <c r="B930" t="str">
        <f>T("   AUTRES")</f>
        <v xml:space="preserve">   AUTRES</v>
      </c>
      <c r="C930">
        <v>405000</v>
      </c>
      <c r="D930">
        <v>20250000</v>
      </c>
    </row>
    <row r="931" spans="1:4" x14ac:dyDescent="0.25">
      <c r="A931" t="str">
        <f>T("   760200")</f>
        <v xml:space="preserve">   760200</v>
      </c>
      <c r="B931" t="str">
        <f>T("   DECHETS ET DEBRIS D'ALUMINIUM.")</f>
        <v xml:space="preserve">   DECHETS ET DEBRIS D'ALUMINIUM.</v>
      </c>
      <c r="C931">
        <v>10000</v>
      </c>
      <c r="D931">
        <v>500000</v>
      </c>
    </row>
    <row r="932" spans="1:4" x14ac:dyDescent="0.25">
      <c r="A932" t="str">
        <f>T("   841861")</f>
        <v xml:space="preserve">   841861</v>
      </c>
      <c r="B932" t="str">
        <f>T("   POMPES A CHALEUR AUTRES QUE LES MACHINES ET APPAREILS POUR LE CONDITIONNEMENT DE L'A")</f>
        <v xml:space="preserve">   POMPES A CHALEUR AUTRES QUE LES MACHINES ET APPAREILS POUR LE CONDITIONNEMENT DE L'A</v>
      </c>
      <c r="C932">
        <v>2210</v>
      </c>
      <c r="D932">
        <v>1311920</v>
      </c>
    </row>
    <row r="933" spans="1:4" x14ac:dyDescent="0.25">
      <c r="A933" t="str">
        <f>T("   843149")</f>
        <v xml:space="preserve">   843149</v>
      </c>
      <c r="B933" t="str">
        <f>T("   AUTRES")</f>
        <v xml:space="preserve">   AUTRES</v>
      </c>
      <c r="C933">
        <v>164</v>
      </c>
      <c r="D933">
        <v>19679</v>
      </c>
    </row>
    <row r="934" spans="1:4" x14ac:dyDescent="0.25">
      <c r="A934" t="str">
        <f>T("   870324")</f>
        <v xml:space="preserve">   870324</v>
      </c>
      <c r="B934" t="str">
        <f>T("   D’UNE CYLINDREE EXCEDANT 3.000 CM³")</f>
        <v xml:space="preserve">   D’UNE CYLINDREE EXCEDANT 3.000 CM³</v>
      </c>
      <c r="C934">
        <v>13600</v>
      </c>
      <c r="D934">
        <v>99972618</v>
      </c>
    </row>
    <row r="935" spans="1:4" x14ac:dyDescent="0.25">
      <c r="A935" t="str">
        <f>T("   940350")</f>
        <v xml:space="preserve">   940350</v>
      </c>
      <c r="B935" t="str">
        <f>T("   MEUBLES EN BOIS DES TYPES UTILISES DANS LES CHAMBRES A COUCHER")</f>
        <v xml:space="preserve">   MEUBLES EN BOIS DES TYPES UTILISES DANS LES CHAMBRES A COUCHER</v>
      </c>
      <c r="C935">
        <v>3000</v>
      </c>
      <c r="D935">
        <v>1880000</v>
      </c>
    </row>
    <row r="936" spans="1:4" x14ac:dyDescent="0.25">
      <c r="A936" t="str">
        <f>T("   970300")</f>
        <v xml:space="preserve">   970300</v>
      </c>
      <c r="B936" t="str">
        <f>T("   PRODUCTIONS ORIGINALES DE L'ART STATUAIRE OU DE LA SCULPTURE, EN TOUTES MATIERES.")</f>
        <v xml:space="preserve">   PRODUCTIONS ORIGINALES DE L'ART STATUAIRE OU DE LA SCULPTURE, EN TOUTES MATIERES.</v>
      </c>
      <c r="C936">
        <v>160</v>
      </c>
      <c r="D936">
        <v>2152780</v>
      </c>
    </row>
    <row r="937" spans="1:4" s="1" customFormat="1" x14ac:dyDescent="0.25">
      <c r="A937" s="1" t="str">
        <f>T("   ZZ_Total_Produit_SH6")</f>
        <v xml:space="preserve">   ZZ_Total_Produit_SH6</v>
      </c>
      <c r="B937" s="1" t="str">
        <f>T("   ZZ_Total_Produit_SH6")</f>
        <v xml:space="preserve">   ZZ_Total_Produit_SH6</v>
      </c>
      <c r="C937" s="1">
        <v>1242505.8</v>
      </c>
      <c r="D937" s="1">
        <v>687150532</v>
      </c>
    </row>
    <row r="938" spans="1:4" s="1" customFormat="1" x14ac:dyDescent="0.25">
      <c r="B938" s="1" t="str">
        <f>T("Jordanie")</f>
        <v>Jordanie</v>
      </c>
    </row>
    <row r="939" spans="1:4" x14ac:dyDescent="0.25">
      <c r="A939" t="str">
        <f>T("   940350")</f>
        <v xml:space="preserve">   940350</v>
      </c>
      <c r="B939" t="str">
        <f>T("   MEUBLES EN BOIS DES TYPES UTILISES DANS LES CHAMBRES A COUCHER")</f>
        <v xml:space="preserve">   MEUBLES EN BOIS DES TYPES UTILISES DANS LES CHAMBRES A COUCHER</v>
      </c>
      <c r="C939">
        <v>600</v>
      </c>
      <c r="D939">
        <v>1478000</v>
      </c>
    </row>
    <row r="940" spans="1:4" s="1" customFormat="1" x14ac:dyDescent="0.25">
      <c r="A940" s="1" t="str">
        <f>T("   ZZ_Total_Produit_SH6")</f>
        <v xml:space="preserve">   ZZ_Total_Produit_SH6</v>
      </c>
      <c r="B940" s="1" t="str">
        <f>T("   ZZ_Total_Produit_SH6")</f>
        <v xml:space="preserve">   ZZ_Total_Produit_SH6</v>
      </c>
      <c r="C940" s="1">
        <v>600</v>
      </c>
      <c r="D940" s="1">
        <v>1478000</v>
      </c>
    </row>
    <row r="941" spans="1:4" s="1" customFormat="1" x14ac:dyDescent="0.25">
      <c r="B941" s="1" t="str">
        <f>T("Japon")</f>
        <v>Japon</v>
      </c>
    </row>
    <row r="942" spans="1:4" x14ac:dyDescent="0.25">
      <c r="A942" t="str">
        <f>T("   392329")</f>
        <v xml:space="preserve">   392329</v>
      </c>
      <c r="B942" t="str">
        <f>T("   EN AUTRES MATIERES PLASTIQUES")</f>
        <v xml:space="preserve">   EN AUTRES MATIERES PLASTIQUES</v>
      </c>
      <c r="C942">
        <v>80</v>
      </c>
      <c r="D942">
        <v>3604500</v>
      </c>
    </row>
    <row r="943" spans="1:4" x14ac:dyDescent="0.25">
      <c r="A943" t="str">
        <f>T("   420299")</f>
        <v xml:space="preserve">   420299</v>
      </c>
      <c r="B943" t="str">
        <f>T("   AUTRES")</f>
        <v xml:space="preserve">   AUTRES</v>
      </c>
      <c r="C943">
        <v>164</v>
      </c>
      <c r="D943">
        <v>5670774</v>
      </c>
    </row>
    <row r="944" spans="1:4" x14ac:dyDescent="0.25">
      <c r="A944" t="str">
        <f>T("   490199")</f>
        <v xml:space="preserve">   490199</v>
      </c>
      <c r="B944" t="str">
        <f>T("   AUTRES")</f>
        <v xml:space="preserve">   AUTRES</v>
      </c>
      <c r="C944">
        <v>100</v>
      </c>
      <c r="D944">
        <v>200000</v>
      </c>
    </row>
    <row r="945" spans="1:4" x14ac:dyDescent="0.25">
      <c r="A945" t="str">
        <f>T("   620590")</f>
        <v xml:space="preserve">   620590</v>
      </c>
      <c r="B945" t="str">
        <f>T("   D'AUTRES MATIERES TEXTILES")</f>
        <v xml:space="preserve">   D'AUTRES MATIERES TEXTILES</v>
      </c>
      <c r="C945">
        <v>900</v>
      </c>
      <c r="D945">
        <v>850000</v>
      </c>
    </row>
    <row r="946" spans="1:4" x14ac:dyDescent="0.25">
      <c r="A946" t="str">
        <f>T("   732394")</f>
        <v xml:space="preserve">   732394</v>
      </c>
      <c r="B946" t="str">
        <f>T("   EN FER OU EN ACIER, EMAILLES")</f>
        <v xml:space="preserve">   EN FER OU EN ACIER, EMAILLES</v>
      </c>
      <c r="C946">
        <v>500</v>
      </c>
      <c r="D946">
        <v>450000</v>
      </c>
    </row>
    <row r="947" spans="1:4" x14ac:dyDescent="0.25">
      <c r="A947" t="str">
        <f>T("   843139")</f>
        <v xml:space="preserve">   843139</v>
      </c>
      <c r="B947" t="str">
        <f>T("   AUTRES")</f>
        <v xml:space="preserve">   AUTRES</v>
      </c>
      <c r="C947">
        <v>16</v>
      </c>
      <c r="D947">
        <v>2888470</v>
      </c>
    </row>
    <row r="948" spans="1:4" x14ac:dyDescent="0.25">
      <c r="A948" t="str">
        <f>T("   940350")</f>
        <v xml:space="preserve">   940350</v>
      </c>
      <c r="B948" t="str">
        <f>T("   MEUBLES EN BOIS DES TYPES UTILISES DANS LES CHAMBRES A COUCHER")</f>
        <v xml:space="preserve">   MEUBLES EN BOIS DES TYPES UTILISES DANS LES CHAMBRES A COUCHER</v>
      </c>
      <c r="C948">
        <v>2500</v>
      </c>
      <c r="D948">
        <v>1000000</v>
      </c>
    </row>
    <row r="949" spans="1:4" s="1" customFormat="1" x14ac:dyDescent="0.25">
      <c r="A949" s="1" t="str">
        <f>T("   ZZ_Total_Produit_SH6")</f>
        <v xml:space="preserve">   ZZ_Total_Produit_SH6</v>
      </c>
      <c r="B949" s="1" t="str">
        <f>T("   ZZ_Total_Produit_SH6")</f>
        <v xml:space="preserve">   ZZ_Total_Produit_SH6</v>
      </c>
      <c r="C949" s="1">
        <v>4260</v>
      </c>
      <c r="D949" s="1">
        <v>14663744</v>
      </c>
    </row>
    <row r="950" spans="1:4" s="1" customFormat="1" x14ac:dyDescent="0.25">
      <c r="B950" s="1" t="str">
        <f>T("Kenya")</f>
        <v>Kenya</v>
      </c>
    </row>
    <row r="951" spans="1:4" x14ac:dyDescent="0.25">
      <c r="A951" t="str">
        <f>T("   410150")</f>
        <v xml:space="preserve">   410150</v>
      </c>
      <c r="B951" t="str">
        <f>T("   CUIRS ET PEAUX BRUTS ENTIERS, D’UN POIDS UNITAIRE EXCEDANT 16 KG")</f>
        <v xml:space="preserve">   CUIRS ET PEAUX BRUTS ENTIERS, D’UN POIDS UNITAIRE EXCEDANT 16 KG</v>
      </c>
      <c r="C951">
        <v>20000</v>
      </c>
      <c r="D951">
        <v>3500000</v>
      </c>
    </row>
    <row r="952" spans="1:4" x14ac:dyDescent="0.25">
      <c r="A952" t="str">
        <f>T("   620349")</f>
        <v xml:space="preserve">   620349</v>
      </c>
      <c r="B952" t="str">
        <f>T("   D'AUTRES MATIERES TEXTILES")</f>
        <v xml:space="preserve">   D'AUTRES MATIERES TEXTILES</v>
      </c>
      <c r="C952">
        <v>602</v>
      </c>
      <c r="D952">
        <v>2000000</v>
      </c>
    </row>
    <row r="953" spans="1:4" x14ac:dyDescent="0.25">
      <c r="A953" t="str">
        <f>T("   620590")</f>
        <v xml:space="preserve">   620590</v>
      </c>
      <c r="B953" t="str">
        <f>T("   D'AUTRES MATIERES TEXTILES")</f>
        <v xml:space="preserve">   D'AUTRES MATIERES TEXTILES</v>
      </c>
      <c r="C953">
        <v>1200</v>
      </c>
      <c r="D953">
        <v>800000</v>
      </c>
    </row>
    <row r="954" spans="1:4" x14ac:dyDescent="0.25">
      <c r="A954" t="str">
        <f>T("   732394")</f>
        <v xml:space="preserve">   732394</v>
      </c>
      <c r="B954" t="str">
        <f>T("   EN FER OU EN ACIER, EMAILLES")</f>
        <v xml:space="preserve">   EN FER OU EN ACIER, EMAILLES</v>
      </c>
      <c r="C954">
        <v>300</v>
      </c>
      <c r="D954">
        <v>400000</v>
      </c>
    </row>
    <row r="955" spans="1:4" x14ac:dyDescent="0.25">
      <c r="A955" t="str">
        <f>T("   940350")</f>
        <v xml:space="preserve">   940350</v>
      </c>
      <c r="B955" t="str">
        <f>T("   MEUBLES EN BOIS DES TYPES UTILISES DANS LES CHAMBRES A COUCHER")</f>
        <v xml:space="preserve">   MEUBLES EN BOIS DES TYPES UTILISES DANS LES CHAMBRES A COUCHER</v>
      </c>
      <c r="C955">
        <v>2500</v>
      </c>
      <c r="D955">
        <v>2300000</v>
      </c>
    </row>
    <row r="956" spans="1:4" s="1" customFormat="1" x14ac:dyDescent="0.25">
      <c r="A956" s="1" t="str">
        <f>T("   ZZ_Total_Produit_SH6")</f>
        <v xml:space="preserve">   ZZ_Total_Produit_SH6</v>
      </c>
      <c r="B956" s="1" t="str">
        <f>T("   ZZ_Total_Produit_SH6")</f>
        <v xml:space="preserve">   ZZ_Total_Produit_SH6</v>
      </c>
      <c r="C956" s="1">
        <v>24602</v>
      </c>
      <c r="D956" s="1">
        <v>9000000</v>
      </c>
    </row>
    <row r="957" spans="1:4" s="1" customFormat="1" x14ac:dyDescent="0.25">
      <c r="B957" s="1" t="str">
        <f>T("Kirghizistan")</f>
        <v>Kirghizistan</v>
      </c>
    </row>
    <row r="958" spans="1:4" x14ac:dyDescent="0.25">
      <c r="A958" t="str">
        <f>T("   300490")</f>
        <v xml:space="preserve">   300490</v>
      </c>
      <c r="B958" t="str">
        <f>T("   AUTRES")</f>
        <v xml:space="preserve">   AUTRES</v>
      </c>
      <c r="C958">
        <v>2000</v>
      </c>
      <c r="D958">
        <v>22793828</v>
      </c>
    </row>
    <row r="959" spans="1:4" s="1" customFormat="1" x14ac:dyDescent="0.25">
      <c r="A959" s="1" t="str">
        <f>T("   ZZ_Total_Produit_SH6")</f>
        <v xml:space="preserve">   ZZ_Total_Produit_SH6</v>
      </c>
      <c r="B959" s="1" t="str">
        <f>T("   ZZ_Total_Produit_SH6")</f>
        <v xml:space="preserve">   ZZ_Total_Produit_SH6</v>
      </c>
      <c r="C959" s="1">
        <v>2000</v>
      </c>
      <c r="D959" s="1">
        <v>22793828</v>
      </c>
    </row>
    <row r="960" spans="1:4" s="1" customFormat="1" x14ac:dyDescent="0.25">
      <c r="B960" s="1" t="str">
        <f>T("Cambodge")</f>
        <v>Cambodge</v>
      </c>
    </row>
    <row r="961" spans="1:4" x14ac:dyDescent="0.25">
      <c r="A961" t="str">
        <f>T("   720429")</f>
        <v xml:space="preserve">   720429</v>
      </c>
      <c r="B961" t="str">
        <f>T("   AUTRES")</f>
        <v xml:space="preserve">   AUTRES</v>
      </c>
      <c r="C961">
        <v>40000</v>
      </c>
      <c r="D961">
        <v>2000000</v>
      </c>
    </row>
    <row r="962" spans="1:4" s="1" customFormat="1" x14ac:dyDescent="0.25">
      <c r="A962" s="1" t="str">
        <f>T("   ZZ_Total_Produit_SH6")</f>
        <v xml:space="preserve">   ZZ_Total_Produit_SH6</v>
      </c>
      <c r="B962" s="1" t="str">
        <f>T("   ZZ_Total_Produit_SH6")</f>
        <v xml:space="preserve">   ZZ_Total_Produit_SH6</v>
      </c>
      <c r="C962" s="1">
        <v>40000</v>
      </c>
      <c r="D962" s="1">
        <v>2000000</v>
      </c>
    </row>
    <row r="963" spans="1:4" s="1" customFormat="1" x14ac:dyDescent="0.25">
      <c r="B963" s="1" t="str">
        <f>T("Corée, République de")</f>
        <v>Corée, République de</v>
      </c>
    </row>
    <row r="964" spans="1:4" x14ac:dyDescent="0.25">
      <c r="A964" t="str">
        <f>T("   120720")</f>
        <v xml:space="preserve">   120720</v>
      </c>
      <c r="B964" t="str">
        <f>T("   GRAINES DE COTON,MEME CONCASSEES")</f>
        <v xml:space="preserve">   GRAINES DE COTON,MEME CONCASSEES</v>
      </c>
      <c r="C964">
        <v>500062</v>
      </c>
      <c r="D964">
        <v>37504650</v>
      </c>
    </row>
    <row r="965" spans="1:4" x14ac:dyDescent="0.25">
      <c r="A965" t="str">
        <f>T("   720429")</f>
        <v xml:space="preserve">   720429</v>
      </c>
      <c r="B965" t="str">
        <f>T("   AUTRES")</f>
        <v xml:space="preserve">   AUTRES</v>
      </c>
      <c r="C965">
        <v>670000</v>
      </c>
      <c r="D965">
        <v>33500000</v>
      </c>
    </row>
    <row r="966" spans="1:4" x14ac:dyDescent="0.25">
      <c r="A966" t="str">
        <f>T("   720430")</f>
        <v xml:space="preserve">   720430</v>
      </c>
      <c r="B966" t="str">
        <f>T("   Dechets et debris de fer ou d'acier etames")</f>
        <v xml:space="preserve">   Dechets et debris de fer ou d'acier etames</v>
      </c>
      <c r="C966">
        <v>285000</v>
      </c>
      <c r="D966">
        <v>14250000</v>
      </c>
    </row>
    <row r="967" spans="1:4" x14ac:dyDescent="0.25">
      <c r="A967" t="str">
        <f>T("   760200")</f>
        <v xml:space="preserve">   760200</v>
      </c>
      <c r="B967" t="str">
        <f>T("   DECHETS ET DEBRIS D'ALUMINIUM.")</f>
        <v xml:space="preserve">   DECHETS ET DEBRIS D'ALUMINIUM.</v>
      </c>
      <c r="C967">
        <v>390000</v>
      </c>
      <c r="D967">
        <v>19500000</v>
      </c>
    </row>
    <row r="968" spans="1:4" x14ac:dyDescent="0.25">
      <c r="A968" t="str">
        <f>T("   840999")</f>
        <v xml:space="preserve">   840999</v>
      </c>
      <c r="B968" t="str">
        <f>T("   AUTRES")</f>
        <v xml:space="preserve">   AUTRES</v>
      </c>
      <c r="C968">
        <v>80</v>
      </c>
      <c r="D968">
        <v>448106</v>
      </c>
    </row>
    <row r="969" spans="1:4" x14ac:dyDescent="0.25">
      <c r="A969" t="str">
        <f>T("   854810")</f>
        <v xml:space="preserve">   854810</v>
      </c>
      <c r="B969" t="str">
        <f>T("   DECHETS ET DEBRIS DE PILES, DE BATTERIES DE PILES ET D'ACCUMULATEURS ELECTRIQUES; PIL")</f>
        <v xml:space="preserve">   DECHETS ET DEBRIS DE PILES, DE BATTERIES DE PILES ET D'ACCUMULATEURS ELECTRIQUES; PIL</v>
      </c>
      <c r="C969">
        <v>10000</v>
      </c>
      <c r="D969">
        <v>1000000</v>
      </c>
    </row>
    <row r="970" spans="1:4" s="1" customFormat="1" x14ac:dyDescent="0.25">
      <c r="A970" s="1" t="str">
        <f>T("   ZZ_Total_Produit_SH6")</f>
        <v xml:space="preserve">   ZZ_Total_Produit_SH6</v>
      </c>
      <c r="B970" s="1" t="str">
        <f>T("   ZZ_Total_Produit_SH6")</f>
        <v xml:space="preserve">   ZZ_Total_Produit_SH6</v>
      </c>
      <c r="C970" s="1">
        <v>1855142</v>
      </c>
      <c r="D970" s="1">
        <v>106202756</v>
      </c>
    </row>
    <row r="971" spans="1:4" s="1" customFormat="1" x14ac:dyDescent="0.25">
      <c r="B971" s="1" t="str">
        <f>T("Koweit")</f>
        <v>Koweit</v>
      </c>
    </row>
    <row r="972" spans="1:4" x14ac:dyDescent="0.25">
      <c r="A972" t="str">
        <f>T("   630629")</f>
        <v xml:space="preserve">   630629</v>
      </c>
      <c r="B972" t="str">
        <f>T("   D'AUTRES MATIERES TEXTILES")</f>
        <v xml:space="preserve">   D'AUTRES MATIERES TEXTILES</v>
      </c>
      <c r="C972">
        <v>2039</v>
      </c>
      <c r="D972">
        <v>1650000</v>
      </c>
    </row>
    <row r="973" spans="1:4" x14ac:dyDescent="0.25">
      <c r="A973" t="str">
        <f>T("   930190")</f>
        <v xml:space="preserve">   930190</v>
      </c>
      <c r="B973" t="str">
        <f>T("   AUTRES")</f>
        <v xml:space="preserve">   AUTRES</v>
      </c>
      <c r="C973">
        <v>14</v>
      </c>
      <c r="D973">
        <v>1650000</v>
      </c>
    </row>
    <row r="974" spans="1:4" s="1" customFormat="1" x14ac:dyDescent="0.25">
      <c r="A974" s="1" t="str">
        <f>T("   ZZ_Total_Produit_SH6")</f>
        <v xml:space="preserve">   ZZ_Total_Produit_SH6</v>
      </c>
      <c r="B974" s="1" t="str">
        <f>T("   ZZ_Total_Produit_SH6")</f>
        <v xml:space="preserve">   ZZ_Total_Produit_SH6</v>
      </c>
      <c r="C974" s="1">
        <v>2053</v>
      </c>
      <c r="D974" s="1">
        <v>3300000</v>
      </c>
    </row>
    <row r="975" spans="1:4" s="1" customFormat="1" x14ac:dyDescent="0.25">
      <c r="B975" s="1" t="str">
        <f>T("Liban")</f>
        <v>Liban</v>
      </c>
    </row>
    <row r="976" spans="1:4" x14ac:dyDescent="0.25">
      <c r="A976" t="str">
        <f>T("   080131")</f>
        <v xml:space="preserve">   080131</v>
      </c>
      <c r="B976" t="str">
        <f>T("   EN COQUES")</f>
        <v xml:space="preserve">   EN COQUES</v>
      </c>
      <c r="C976">
        <v>84000</v>
      </c>
      <c r="D976">
        <v>21000000</v>
      </c>
    </row>
    <row r="977" spans="1:4" x14ac:dyDescent="0.25">
      <c r="A977" t="str">
        <f>T("   120740")</f>
        <v xml:space="preserve">   120740</v>
      </c>
      <c r="B977" t="str">
        <f>T("   GRAINES DE SESAME")</f>
        <v xml:space="preserve">   GRAINES DE SESAME</v>
      </c>
      <c r="C977">
        <v>35500</v>
      </c>
      <c r="D977">
        <v>5680000</v>
      </c>
    </row>
    <row r="978" spans="1:4" x14ac:dyDescent="0.25">
      <c r="A978" t="str">
        <f>T("   121230")</f>
        <v xml:space="preserve">   121230</v>
      </c>
      <c r="B978" t="str">
        <f>T("   NOYAUX,AMANDES D'ABRICOTS,PECHES,PRUNES,DESTINES A L'ALIMENTATION HUMAINE")</f>
        <v xml:space="preserve">   NOYAUX,AMANDES D'ABRICOTS,PECHES,PRUNES,DESTINES A L'ALIMENTATION HUMAINE</v>
      </c>
      <c r="C978">
        <v>432</v>
      </c>
      <c r="D978">
        <v>54116454</v>
      </c>
    </row>
    <row r="979" spans="1:4" x14ac:dyDescent="0.25">
      <c r="A979" t="str">
        <f>T("   442190")</f>
        <v xml:space="preserve">   442190</v>
      </c>
      <c r="B979" t="str">
        <f>T("   AUTRES")</f>
        <v xml:space="preserve">   AUTRES</v>
      </c>
      <c r="C979">
        <v>46000</v>
      </c>
      <c r="D979">
        <v>1003000</v>
      </c>
    </row>
    <row r="980" spans="1:4" x14ac:dyDescent="0.25">
      <c r="A980" t="str">
        <f>T("   620590")</f>
        <v xml:space="preserve">   620590</v>
      </c>
      <c r="B980" t="str">
        <f>T("   D'AUTRES MATIERES TEXTILES")</f>
        <v xml:space="preserve">   D'AUTRES MATIERES TEXTILES</v>
      </c>
      <c r="C980">
        <v>600</v>
      </c>
      <c r="D980">
        <v>500000</v>
      </c>
    </row>
    <row r="981" spans="1:4" x14ac:dyDescent="0.25">
      <c r="A981" t="str">
        <f>T("   720429")</f>
        <v xml:space="preserve">   720429</v>
      </c>
      <c r="B981" t="str">
        <f>T("   AUTRES")</f>
        <v xml:space="preserve">   AUTRES</v>
      </c>
      <c r="C981">
        <v>20000</v>
      </c>
      <c r="D981">
        <v>1000000</v>
      </c>
    </row>
    <row r="982" spans="1:4" x14ac:dyDescent="0.25">
      <c r="A982" t="str">
        <f>T("   720430")</f>
        <v xml:space="preserve">   720430</v>
      </c>
      <c r="B982" t="str">
        <f>T("   Dechets et debris de fer ou d'acier etames")</f>
        <v xml:space="preserve">   Dechets et debris de fer ou d'acier etames</v>
      </c>
      <c r="C982">
        <v>30000</v>
      </c>
      <c r="D982">
        <v>1500000</v>
      </c>
    </row>
    <row r="983" spans="1:4" x14ac:dyDescent="0.25">
      <c r="A983" t="str">
        <f>T("   732394")</f>
        <v xml:space="preserve">   732394</v>
      </c>
      <c r="B983" t="str">
        <f>T("   EN FER OU EN ACIER, EMAILLES")</f>
        <v xml:space="preserve">   EN FER OU EN ACIER, EMAILLES</v>
      </c>
      <c r="C983">
        <v>200</v>
      </c>
      <c r="D983">
        <v>200000</v>
      </c>
    </row>
    <row r="984" spans="1:4" x14ac:dyDescent="0.25">
      <c r="A984" t="str">
        <f>T("   870322")</f>
        <v xml:space="preserve">   870322</v>
      </c>
      <c r="B984" t="str">
        <f>T("   D’UNE CYLINDREE EXCEDANT 1.000 CM³ MAIS N’EXCEDANT PAS 1.500 CM³")</f>
        <v xml:space="preserve">   D’UNE CYLINDREE EXCEDANT 1.000 CM³ MAIS N’EXCEDANT PAS 1.500 CM³</v>
      </c>
      <c r="C984">
        <v>1427</v>
      </c>
      <c r="D984">
        <v>1200000</v>
      </c>
    </row>
    <row r="985" spans="1:4" x14ac:dyDescent="0.25">
      <c r="A985" t="str">
        <f>T("   870323")</f>
        <v xml:space="preserve">   870323</v>
      </c>
      <c r="B985" t="str">
        <f>T("   D’UNE CYLINDREE EXCEDANT 1.500 CM³ MAIS N’EXCEDANT PAS 3.000 CM³")</f>
        <v xml:space="preserve">   D’UNE CYLINDREE EXCEDANT 1.500 CM³ MAIS N’EXCEDANT PAS 3.000 CM³</v>
      </c>
      <c r="C985">
        <v>4284</v>
      </c>
      <c r="D985">
        <v>10800000</v>
      </c>
    </row>
    <row r="986" spans="1:4" x14ac:dyDescent="0.25">
      <c r="A986" t="str">
        <f>T("   940350")</f>
        <v xml:space="preserve">   940350</v>
      </c>
      <c r="B986" t="str">
        <f>T("   MEUBLES EN BOIS DES TYPES UTILISES DANS LES CHAMBRES A COUCHER")</f>
        <v xml:space="preserve">   MEUBLES EN BOIS DES TYPES UTILISES DANS LES CHAMBRES A COUCHER</v>
      </c>
      <c r="C986">
        <v>1200</v>
      </c>
      <c r="D986">
        <v>1300000</v>
      </c>
    </row>
    <row r="987" spans="1:4" x14ac:dyDescent="0.25">
      <c r="A987" t="str">
        <f>T("   940360")</f>
        <v xml:space="preserve">   940360</v>
      </c>
      <c r="B987" t="str">
        <f>T("   Autres meubles en bois")</f>
        <v xml:space="preserve">   Autres meubles en bois</v>
      </c>
      <c r="C987">
        <v>2420</v>
      </c>
      <c r="D987">
        <v>2500000</v>
      </c>
    </row>
    <row r="988" spans="1:4" s="1" customFormat="1" x14ac:dyDescent="0.25">
      <c r="A988" s="1" t="str">
        <f>T("   ZZ_Total_Produit_SH6")</f>
        <v xml:space="preserve">   ZZ_Total_Produit_SH6</v>
      </c>
      <c r="B988" s="1" t="str">
        <f>T("   ZZ_Total_Produit_SH6")</f>
        <v xml:space="preserve">   ZZ_Total_Produit_SH6</v>
      </c>
      <c r="C988" s="1">
        <v>226063</v>
      </c>
      <c r="D988" s="1">
        <v>100799454</v>
      </c>
    </row>
    <row r="989" spans="1:4" s="1" customFormat="1" x14ac:dyDescent="0.25">
      <c r="B989" s="1" t="str">
        <f>T("Liechtenstein")</f>
        <v>Liechtenstein</v>
      </c>
    </row>
    <row r="990" spans="1:4" x14ac:dyDescent="0.25">
      <c r="A990" t="str">
        <f>T("   871411")</f>
        <v xml:space="preserve">   871411</v>
      </c>
      <c r="B990" t="str">
        <f>T("   SELLES")</f>
        <v xml:space="preserve">   SELLES</v>
      </c>
      <c r="C990">
        <v>225</v>
      </c>
      <c r="D990">
        <v>348527</v>
      </c>
    </row>
    <row r="991" spans="1:4" s="1" customFormat="1" x14ac:dyDescent="0.25">
      <c r="A991" s="1" t="str">
        <f>T("   ZZ_Total_Produit_SH6")</f>
        <v xml:space="preserve">   ZZ_Total_Produit_SH6</v>
      </c>
      <c r="B991" s="1" t="str">
        <f>T("   ZZ_Total_Produit_SH6")</f>
        <v xml:space="preserve">   ZZ_Total_Produit_SH6</v>
      </c>
      <c r="C991" s="1">
        <v>225</v>
      </c>
      <c r="D991" s="1">
        <v>348527</v>
      </c>
    </row>
    <row r="992" spans="1:4" s="1" customFormat="1" x14ac:dyDescent="0.25">
      <c r="B992" s="1" t="str">
        <f>T("Sri Lanka")</f>
        <v>Sri Lanka</v>
      </c>
    </row>
    <row r="993" spans="1:4" x14ac:dyDescent="0.25">
      <c r="A993" t="str">
        <f>T("   940350")</f>
        <v xml:space="preserve">   940350</v>
      </c>
      <c r="B993" t="str">
        <f>T("   MEUBLES EN BOIS DES TYPES UTILISES DANS LES CHAMBRES A COUCHER")</f>
        <v xml:space="preserve">   MEUBLES EN BOIS DES TYPES UTILISES DANS LES CHAMBRES A COUCHER</v>
      </c>
      <c r="C993">
        <v>1500</v>
      </c>
      <c r="D993">
        <v>1480000</v>
      </c>
    </row>
    <row r="994" spans="1:4" s="1" customFormat="1" x14ac:dyDescent="0.25">
      <c r="A994" s="1" t="str">
        <f>T("   ZZ_Total_Produit_SH6")</f>
        <v xml:space="preserve">   ZZ_Total_Produit_SH6</v>
      </c>
      <c r="B994" s="1" t="str">
        <f>T("   ZZ_Total_Produit_SH6")</f>
        <v xml:space="preserve">   ZZ_Total_Produit_SH6</v>
      </c>
      <c r="C994" s="1">
        <v>1500</v>
      </c>
      <c r="D994" s="1">
        <v>1480000</v>
      </c>
    </row>
    <row r="995" spans="1:4" s="1" customFormat="1" x14ac:dyDescent="0.25">
      <c r="B995" s="1" t="str">
        <f>T("Libéria")</f>
        <v>Libéria</v>
      </c>
    </row>
    <row r="996" spans="1:4" x14ac:dyDescent="0.25">
      <c r="A996" t="str">
        <f>T("   100630")</f>
        <v xml:space="preserve">   100630</v>
      </c>
      <c r="B996" t="str">
        <f>T("   RIZ SEMIBLANCHI OU BLANCHI, MEME POLI OU GLACE")</f>
        <v xml:space="preserve">   RIZ SEMIBLANCHI OU BLANCHI, MEME POLI OU GLACE</v>
      </c>
      <c r="C996">
        <v>2637</v>
      </c>
      <c r="D996">
        <v>527400000</v>
      </c>
    </row>
    <row r="997" spans="1:4" x14ac:dyDescent="0.25">
      <c r="A997" t="str">
        <f>T("   110290")</f>
        <v xml:space="preserve">   110290</v>
      </c>
      <c r="B997" t="str">
        <f>T("   AUTRES")</f>
        <v xml:space="preserve">   AUTRES</v>
      </c>
      <c r="C997">
        <v>192147</v>
      </c>
      <c r="D997">
        <v>93105150</v>
      </c>
    </row>
    <row r="998" spans="1:4" x14ac:dyDescent="0.25">
      <c r="A998" t="str">
        <f>T("   121230")</f>
        <v xml:space="preserve">   121230</v>
      </c>
      <c r="B998" t="str">
        <f>T("   NOYAUX,AMANDES D'ABRICOTS,PECHES,PRUNES,DESTINES A L'ALIMENTATION HUMAINE")</f>
        <v xml:space="preserve">   NOYAUX,AMANDES D'ABRICOTS,PECHES,PRUNES,DESTINES A L'ALIMENTATION HUMAINE</v>
      </c>
      <c r="C998">
        <v>3135</v>
      </c>
      <c r="D998">
        <v>381701387</v>
      </c>
    </row>
    <row r="999" spans="1:4" x14ac:dyDescent="0.25">
      <c r="A999" t="str">
        <f>T("   610449")</f>
        <v xml:space="preserve">   610449</v>
      </c>
      <c r="B999" t="str">
        <f>T("   D'AUTRES MATIERES TEXTILES")</f>
        <v xml:space="preserve">   D'AUTRES MATIERES TEXTILES</v>
      </c>
      <c r="C999">
        <v>1327</v>
      </c>
      <c r="D999">
        <v>3000000</v>
      </c>
    </row>
    <row r="1000" spans="1:4" x14ac:dyDescent="0.25">
      <c r="A1000" t="str">
        <f>T("   841829")</f>
        <v xml:space="preserve">   841829</v>
      </c>
      <c r="B1000" t="str">
        <f>T("   AUTRES")</f>
        <v xml:space="preserve">   AUTRES</v>
      </c>
      <c r="C1000">
        <v>2054</v>
      </c>
      <c r="D1000">
        <v>3000000</v>
      </c>
    </row>
    <row r="1001" spans="1:4" x14ac:dyDescent="0.25">
      <c r="A1001" t="str">
        <f>T("   870322")</f>
        <v xml:space="preserve">   870322</v>
      </c>
      <c r="B1001" t="str">
        <f>T("   D’UNE CYLINDREE EXCEDANT 1.000 CM³ MAIS N’EXCEDANT PAS 1.500 CM³")</f>
        <v xml:space="preserve">   D’UNE CYLINDREE EXCEDANT 1.000 CM³ MAIS N’EXCEDANT PAS 1.500 CM³</v>
      </c>
      <c r="C1001">
        <v>3000</v>
      </c>
      <c r="D1001">
        <v>4500000</v>
      </c>
    </row>
    <row r="1002" spans="1:4" x14ac:dyDescent="0.25">
      <c r="A1002" t="str">
        <f>T("   870323")</f>
        <v xml:space="preserve">   870323</v>
      </c>
      <c r="B1002" t="str">
        <f>T("   D’UNE CYLINDREE EXCEDANT 1.500 CM³ MAIS N’EXCEDANT PAS 3.000 CM³")</f>
        <v xml:space="preserve">   D’UNE CYLINDREE EXCEDANT 1.500 CM³ MAIS N’EXCEDANT PAS 3.000 CM³</v>
      </c>
      <c r="C1002">
        <v>1505</v>
      </c>
      <c r="D1002">
        <v>4643174</v>
      </c>
    </row>
    <row r="1003" spans="1:4" s="1" customFormat="1" x14ac:dyDescent="0.25">
      <c r="A1003" s="1" t="str">
        <f>T("   ZZ_Total_Produit_SH6")</f>
        <v xml:space="preserve">   ZZ_Total_Produit_SH6</v>
      </c>
      <c r="B1003" s="1" t="str">
        <f>T("   ZZ_Total_Produit_SH6")</f>
        <v xml:space="preserve">   ZZ_Total_Produit_SH6</v>
      </c>
      <c r="C1003" s="1">
        <v>205805</v>
      </c>
      <c r="D1003" s="1">
        <v>1017349711</v>
      </c>
    </row>
    <row r="1004" spans="1:4" s="1" customFormat="1" x14ac:dyDescent="0.25">
      <c r="B1004" s="1" t="str">
        <f>T("Libyenne, Jamahiriya Arabe")</f>
        <v>Libyenne, Jamahiriya Arabe</v>
      </c>
    </row>
    <row r="1005" spans="1:4" x14ac:dyDescent="0.25">
      <c r="A1005" t="str">
        <f>T("   210111")</f>
        <v xml:space="preserve">   210111</v>
      </c>
      <c r="B1005" t="str">
        <f>T("   EXTRAITS, ESSENCES ET CONCENTRES")</f>
        <v xml:space="preserve">   EXTRAITS, ESSENCES ET CONCENTRES</v>
      </c>
      <c r="C1005">
        <v>40000</v>
      </c>
      <c r="D1005">
        <v>3000000</v>
      </c>
    </row>
    <row r="1006" spans="1:4" x14ac:dyDescent="0.25">
      <c r="A1006" t="str">
        <f>T("   210690")</f>
        <v xml:space="preserve">   210690</v>
      </c>
      <c r="B1006" t="str">
        <f>T("   AUTRES")</f>
        <v xml:space="preserve">   AUTRES</v>
      </c>
      <c r="C1006">
        <v>9024</v>
      </c>
      <c r="D1006">
        <v>600000</v>
      </c>
    </row>
    <row r="1007" spans="1:4" x14ac:dyDescent="0.25">
      <c r="A1007" t="str">
        <f>T("   392390")</f>
        <v xml:space="preserve">   392390</v>
      </c>
      <c r="B1007" t="str">
        <f>T("   AUTRES")</f>
        <v xml:space="preserve">   AUTRES</v>
      </c>
      <c r="C1007">
        <v>1670</v>
      </c>
      <c r="D1007">
        <v>2249287</v>
      </c>
    </row>
    <row r="1008" spans="1:4" x14ac:dyDescent="0.25">
      <c r="A1008" t="str">
        <f>T("   701090")</f>
        <v xml:space="preserve">   701090</v>
      </c>
      <c r="B1008" t="str">
        <f>T("   AUTRES")</f>
        <v xml:space="preserve">   AUTRES</v>
      </c>
      <c r="C1008">
        <v>29433</v>
      </c>
      <c r="D1008">
        <v>15555058</v>
      </c>
    </row>
    <row r="1009" spans="1:4" x14ac:dyDescent="0.25">
      <c r="A1009" t="str">
        <f>T("   720430")</f>
        <v xml:space="preserve">   720430</v>
      </c>
      <c r="B1009" t="str">
        <f>T("   Dechets et debris de fer ou d'acier etames")</f>
        <v xml:space="preserve">   Dechets et debris de fer ou d'acier etames</v>
      </c>
      <c r="C1009">
        <v>30000</v>
      </c>
      <c r="D1009">
        <v>1500000</v>
      </c>
    </row>
    <row r="1010" spans="1:4" x14ac:dyDescent="0.25">
      <c r="A1010" t="str">
        <f>T("   870323")</f>
        <v xml:space="preserve">   870323</v>
      </c>
      <c r="B1010" t="str">
        <f>T("   D’UNE CYLINDREE EXCEDANT 1.500 CM³ MAIS N’EXCEDANT PAS 3.000 CM³")</f>
        <v xml:space="preserve">   D’UNE CYLINDREE EXCEDANT 1.500 CM³ MAIS N’EXCEDANT PAS 3.000 CM³</v>
      </c>
      <c r="C1010">
        <v>1500</v>
      </c>
      <c r="D1010">
        <v>1200000</v>
      </c>
    </row>
    <row r="1011" spans="1:4" s="1" customFormat="1" x14ac:dyDescent="0.25">
      <c r="A1011" s="1" t="str">
        <f>T("   ZZ_Total_Produit_SH6")</f>
        <v xml:space="preserve">   ZZ_Total_Produit_SH6</v>
      </c>
      <c r="B1011" s="1" t="str">
        <f>T("   ZZ_Total_Produit_SH6")</f>
        <v xml:space="preserve">   ZZ_Total_Produit_SH6</v>
      </c>
      <c r="C1011" s="1">
        <v>111627</v>
      </c>
      <c r="D1011" s="1">
        <v>24104345</v>
      </c>
    </row>
    <row r="1012" spans="1:4" s="1" customFormat="1" x14ac:dyDescent="0.25">
      <c r="B1012" s="1" t="str">
        <f>T("Maroc")</f>
        <v>Maroc</v>
      </c>
    </row>
    <row r="1013" spans="1:4" x14ac:dyDescent="0.25">
      <c r="A1013" t="str">
        <f>T("   080131")</f>
        <v xml:space="preserve">   080131</v>
      </c>
      <c r="B1013" t="str">
        <f>T("   EN COQUES")</f>
        <v xml:space="preserve">   EN COQUES</v>
      </c>
      <c r="C1013">
        <v>254515</v>
      </c>
      <c r="D1013">
        <v>50891000</v>
      </c>
    </row>
    <row r="1014" spans="1:4" x14ac:dyDescent="0.25">
      <c r="A1014" t="str">
        <f>T("   091010")</f>
        <v xml:space="preserve">   091010</v>
      </c>
      <c r="B1014" t="str">
        <f>T("   Gingembre")</f>
        <v xml:space="preserve">   Gingembre</v>
      </c>
      <c r="C1014">
        <v>266879</v>
      </c>
      <c r="D1014">
        <v>27573066</v>
      </c>
    </row>
    <row r="1015" spans="1:4" x14ac:dyDescent="0.25">
      <c r="A1015" t="str">
        <f>T("   120590")</f>
        <v xml:space="preserve">   120590</v>
      </c>
      <c r="B1015" t="str">
        <f>T("   AUTRES")</f>
        <v xml:space="preserve">   AUTRES</v>
      </c>
      <c r="C1015">
        <v>10000</v>
      </c>
      <c r="D1015">
        <v>1000000</v>
      </c>
    </row>
    <row r="1016" spans="1:4" x14ac:dyDescent="0.25">
      <c r="A1016" t="str">
        <f>T("   520100")</f>
        <v xml:space="preserve">   520100</v>
      </c>
      <c r="B1016" t="str">
        <f>T("   COTON, NON CARDE NI PEIGNE.")</f>
        <v xml:space="preserve">   COTON, NON CARDE NI PEIGNE.</v>
      </c>
      <c r="C1016">
        <v>465523</v>
      </c>
      <c r="D1016">
        <v>331961008</v>
      </c>
    </row>
    <row r="1017" spans="1:4" x14ac:dyDescent="0.25">
      <c r="A1017" t="str">
        <f>T("   842649")</f>
        <v xml:space="preserve">   842649</v>
      </c>
      <c r="B1017" t="str">
        <f>T("   AUTRES")</f>
        <v xml:space="preserve">   AUTRES</v>
      </c>
      <c r="C1017">
        <v>104400</v>
      </c>
      <c r="D1017">
        <v>218340618</v>
      </c>
    </row>
    <row r="1018" spans="1:4" x14ac:dyDescent="0.25">
      <c r="A1018" t="str">
        <f>T("   851140")</f>
        <v xml:space="preserve">   851140</v>
      </c>
      <c r="B1018" t="str">
        <f>T("   Demarreurs, meme fonctionnant comme generatrices")</f>
        <v xml:space="preserve">   Demarreurs, meme fonctionnant comme generatrices</v>
      </c>
      <c r="C1018">
        <v>19.399999999999999</v>
      </c>
      <c r="D1018">
        <v>100000</v>
      </c>
    </row>
    <row r="1019" spans="1:4" x14ac:dyDescent="0.25">
      <c r="A1019" t="str">
        <f>T("   870590")</f>
        <v xml:space="preserve">   870590</v>
      </c>
      <c r="B1019" t="str">
        <f>T("   AUTRES")</f>
        <v xml:space="preserve">   AUTRES</v>
      </c>
      <c r="C1019">
        <v>39916</v>
      </c>
      <c r="D1019">
        <v>48576310</v>
      </c>
    </row>
    <row r="1020" spans="1:4" s="1" customFormat="1" x14ac:dyDescent="0.25">
      <c r="A1020" s="1" t="str">
        <f>T("   ZZ_Total_Produit_SH6")</f>
        <v xml:space="preserve">   ZZ_Total_Produit_SH6</v>
      </c>
      <c r="B1020" s="1" t="str">
        <f>T("   ZZ_Total_Produit_SH6")</f>
        <v xml:space="preserve">   ZZ_Total_Produit_SH6</v>
      </c>
      <c r="C1020" s="1">
        <v>1141252.3999999999</v>
      </c>
      <c r="D1020" s="1">
        <v>678442002</v>
      </c>
    </row>
    <row r="1021" spans="1:4" s="1" customFormat="1" x14ac:dyDescent="0.25">
      <c r="B1021" s="1" t="str">
        <f>T("Monaco")</f>
        <v>Monaco</v>
      </c>
    </row>
    <row r="1022" spans="1:4" x14ac:dyDescent="0.25">
      <c r="A1022" t="str">
        <f>T("   151590")</f>
        <v xml:space="preserve">   151590</v>
      </c>
      <c r="B1022" t="str">
        <f>T("   AUTRES")</f>
        <v xml:space="preserve">   AUTRES</v>
      </c>
      <c r="C1022">
        <v>390</v>
      </c>
      <c r="D1022">
        <v>200000</v>
      </c>
    </row>
    <row r="1023" spans="1:4" x14ac:dyDescent="0.25">
      <c r="A1023" t="str">
        <f>T("   520100")</f>
        <v xml:space="preserve">   520100</v>
      </c>
      <c r="B1023" t="str">
        <f>T("   COTON, NON CARDE NI PEIGNE.")</f>
        <v xml:space="preserve">   COTON, NON CARDE NI PEIGNE.</v>
      </c>
      <c r="C1023">
        <v>119781</v>
      </c>
      <c r="D1023">
        <v>104209439</v>
      </c>
    </row>
    <row r="1024" spans="1:4" x14ac:dyDescent="0.25">
      <c r="A1024" t="str">
        <f>T("   630649")</f>
        <v xml:space="preserve">   630649</v>
      </c>
      <c r="B1024" t="str">
        <f>T("   MATELAS PNEUMATIQUES D'AUTRES MATIERES TEXTILES")</f>
        <v xml:space="preserve">   MATELAS PNEUMATIQUES D'AUTRES MATIERES TEXTILES</v>
      </c>
      <c r="C1024">
        <v>341</v>
      </c>
      <c r="D1024">
        <v>300000</v>
      </c>
    </row>
    <row r="1025" spans="1:4" s="1" customFormat="1" x14ac:dyDescent="0.25">
      <c r="A1025" s="1" t="str">
        <f>T("   ZZ_Total_Produit_SH6")</f>
        <v xml:space="preserve">   ZZ_Total_Produit_SH6</v>
      </c>
      <c r="B1025" s="1" t="str">
        <f>T("   ZZ_Total_Produit_SH6")</f>
        <v xml:space="preserve">   ZZ_Total_Produit_SH6</v>
      </c>
      <c r="C1025" s="1">
        <v>120512</v>
      </c>
      <c r="D1025" s="1">
        <v>104709439</v>
      </c>
    </row>
    <row r="1026" spans="1:4" s="1" customFormat="1" x14ac:dyDescent="0.25">
      <c r="B1026" s="1" t="str">
        <f>T("Moldova, République de")</f>
        <v>Moldova, République de</v>
      </c>
    </row>
    <row r="1027" spans="1:4" x14ac:dyDescent="0.25">
      <c r="A1027" t="str">
        <f>T("   151550")</f>
        <v xml:space="preserve">   151550</v>
      </c>
      <c r="B1027" t="str">
        <f>T("   HUILE DE SESAME ET SES FRACTIONS")</f>
        <v xml:space="preserve">   HUILE DE SESAME ET SES FRACTIONS</v>
      </c>
      <c r="C1027">
        <v>5</v>
      </c>
      <c r="D1027">
        <v>3750</v>
      </c>
    </row>
    <row r="1028" spans="1:4" x14ac:dyDescent="0.25">
      <c r="A1028" t="str">
        <f>T("   151590")</f>
        <v xml:space="preserve">   151590</v>
      </c>
      <c r="B1028" t="str">
        <f>T("   AUTRES")</f>
        <v xml:space="preserve">   AUTRES</v>
      </c>
      <c r="C1028">
        <v>695</v>
      </c>
      <c r="D1028">
        <v>287500</v>
      </c>
    </row>
    <row r="1029" spans="1:4" x14ac:dyDescent="0.25">
      <c r="A1029" t="str">
        <f>T("   151620")</f>
        <v xml:space="preserve">   151620</v>
      </c>
      <c r="B1029" t="str">
        <f>T("   GRAISSES ET HUILES VEGETALES ET LEURS FRACTIONS")</f>
        <v xml:space="preserve">   GRAISSES ET HUILES VEGETALES ET LEURS FRACTIONS</v>
      </c>
      <c r="C1029">
        <v>2819</v>
      </c>
      <c r="D1029">
        <v>1127600</v>
      </c>
    </row>
    <row r="1030" spans="1:4" x14ac:dyDescent="0.25">
      <c r="A1030" t="str">
        <f>T("   210690")</f>
        <v xml:space="preserve">   210690</v>
      </c>
      <c r="B1030" t="str">
        <f>T("   AUTRES")</f>
        <v xml:space="preserve">   AUTRES</v>
      </c>
      <c r="C1030">
        <v>154</v>
      </c>
      <c r="D1030">
        <v>511500</v>
      </c>
    </row>
    <row r="1031" spans="1:4" x14ac:dyDescent="0.25">
      <c r="A1031" t="str">
        <f>T("   250620")</f>
        <v xml:space="preserve">   250620</v>
      </c>
      <c r="B1031" t="str">
        <f>T("   QUARTZITES")</f>
        <v xml:space="preserve">   QUARTZITES</v>
      </c>
      <c r="C1031">
        <v>3700</v>
      </c>
      <c r="D1031">
        <v>41250</v>
      </c>
    </row>
    <row r="1032" spans="1:4" x14ac:dyDescent="0.25">
      <c r="A1032" t="str">
        <f>T("   870899")</f>
        <v xml:space="preserve">   870899</v>
      </c>
      <c r="B1032" t="str">
        <f>T("   AUTRES")</f>
        <v xml:space="preserve">   AUTRES</v>
      </c>
      <c r="C1032">
        <v>4959</v>
      </c>
      <c r="D1032">
        <v>10000110</v>
      </c>
    </row>
    <row r="1033" spans="1:4" x14ac:dyDescent="0.25">
      <c r="A1033" t="str">
        <f>T("   940360")</f>
        <v xml:space="preserve">   940360</v>
      </c>
      <c r="B1033" t="str">
        <f>T("   Autres meubles en bois")</f>
        <v xml:space="preserve">   Autres meubles en bois</v>
      </c>
      <c r="C1033">
        <v>540</v>
      </c>
      <c r="D1033">
        <v>200000</v>
      </c>
    </row>
    <row r="1034" spans="1:4" s="1" customFormat="1" x14ac:dyDescent="0.25">
      <c r="A1034" s="1" t="str">
        <f>T("   ZZ_Total_Produit_SH6")</f>
        <v xml:space="preserve">   ZZ_Total_Produit_SH6</v>
      </c>
      <c r="B1034" s="1" t="str">
        <f>T("   ZZ_Total_Produit_SH6")</f>
        <v xml:space="preserve">   ZZ_Total_Produit_SH6</v>
      </c>
      <c r="C1034" s="1">
        <v>12872</v>
      </c>
      <c r="D1034" s="1">
        <v>12171710</v>
      </c>
    </row>
    <row r="1035" spans="1:4" s="1" customFormat="1" x14ac:dyDescent="0.25">
      <c r="B1035" s="1" t="str">
        <f>T("Madagascar")</f>
        <v>Madagascar</v>
      </c>
    </row>
    <row r="1036" spans="1:4" x14ac:dyDescent="0.25">
      <c r="A1036" t="str">
        <f>T("   121230")</f>
        <v xml:space="preserve">   121230</v>
      </c>
      <c r="B1036" t="str">
        <f>T("   NOYAUX,AMANDES D'ABRICOTS,PECHES,PRUNES,DESTINES A L'ALIMENTATION HUMAINE")</f>
        <v xml:space="preserve">   NOYAUX,AMANDES D'ABRICOTS,PECHES,PRUNES,DESTINES A L'ALIMENTATION HUMAINE</v>
      </c>
      <c r="C1036">
        <v>63</v>
      </c>
      <c r="D1036">
        <v>7215527</v>
      </c>
    </row>
    <row r="1037" spans="1:4" x14ac:dyDescent="0.25">
      <c r="A1037" t="str">
        <f>T("   320290")</f>
        <v xml:space="preserve">   320290</v>
      </c>
      <c r="B1037" t="str">
        <f>T("   AUTRES")</f>
        <v xml:space="preserve">   AUTRES</v>
      </c>
      <c r="C1037">
        <v>10000</v>
      </c>
      <c r="D1037">
        <v>300000</v>
      </c>
    </row>
    <row r="1038" spans="1:4" x14ac:dyDescent="0.25">
      <c r="A1038" t="str">
        <f>T("   620590")</f>
        <v xml:space="preserve">   620590</v>
      </c>
      <c r="B1038" t="str">
        <f>T("   D'AUTRES MATIERES TEXTILES")</f>
        <v xml:space="preserve">   D'AUTRES MATIERES TEXTILES</v>
      </c>
      <c r="C1038">
        <v>250</v>
      </c>
      <c r="D1038">
        <v>170000</v>
      </c>
    </row>
    <row r="1039" spans="1:4" x14ac:dyDescent="0.25">
      <c r="A1039" t="str">
        <f>T("   732394")</f>
        <v xml:space="preserve">   732394</v>
      </c>
      <c r="B1039" t="str">
        <f>T("   EN FER OU EN ACIER, EMAILLES")</f>
        <v xml:space="preserve">   EN FER OU EN ACIER, EMAILLES</v>
      </c>
      <c r="C1039">
        <v>74</v>
      </c>
      <c r="D1039">
        <v>40852</v>
      </c>
    </row>
    <row r="1040" spans="1:4" x14ac:dyDescent="0.25">
      <c r="A1040" t="str">
        <f>T("   870323")</f>
        <v xml:space="preserve">   870323</v>
      </c>
      <c r="B1040" t="str">
        <f>T("   D’UNE CYLINDREE EXCEDANT 1.500 CM³ MAIS N’EXCEDANT PAS 3.000 CM³")</f>
        <v xml:space="preserve">   D’UNE CYLINDREE EXCEDANT 1.500 CM³ MAIS N’EXCEDANT PAS 3.000 CM³</v>
      </c>
      <c r="C1040">
        <v>2550</v>
      </c>
      <c r="D1040">
        <v>2400000</v>
      </c>
    </row>
    <row r="1041" spans="1:4" x14ac:dyDescent="0.25">
      <c r="A1041" t="str">
        <f>T("   870333")</f>
        <v xml:space="preserve">   870333</v>
      </c>
      <c r="B1041" t="str">
        <f>T("   D'UNE CYLINDREE EXCEDANT 2.500 CM³")</f>
        <v xml:space="preserve">   D'UNE CYLINDREE EXCEDANT 2.500 CM³</v>
      </c>
      <c r="C1041">
        <v>4000</v>
      </c>
      <c r="D1041">
        <v>30461135</v>
      </c>
    </row>
    <row r="1042" spans="1:4" x14ac:dyDescent="0.25">
      <c r="A1042" t="str">
        <f>T("   901590")</f>
        <v xml:space="preserve">   901590</v>
      </c>
      <c r="B1042" t="str">
        <f>T("   PARTIES ET ACCESSOIRES")</f>
        <v xml:space="preserve">   PARTIES ET ACCESSOIRES</v>
      </c>
      <c r="C1042">
        <v>280</v>
      </c>
      <c r="D1042">
        <v>49790</v>
      </c>
    </row>
    <row r="1043" spans="1:4" x14ac:dyDescent="0.25">
      <c r="A1043" t="str">
        <f>T("   940350")</f>
        <v xml:space="preserve">   940350</v>
      </c>
      <c r="B1043" t="str">
        <f>T("   MEUBLES EN BOIS DES TYPES UTILISES DANS LES CHAMBRES A COUCHER")</f>
        <v xml:space="preserve">   MEUBLES EN BOIS DES TYPES UTILISES DANS LES CHAMBRES A COUCHER</v>
      </c>
      <c r="C1043">
        <v>1900</v>
      </c>
      <c r="D1043">
        <v>1830000</v>
      </c>
    </row>
    <row r="1044" spans="1:4" s="1" customFormat="1" x14ac:dyDescent="0.25">
      <c r="A1044" s="1" t="str">
        <f>T("   ZZ_Total_Produit_SH6")</f>
        <v xml:space="preserve">   ZZ_Total_Produit_SH6</v>
      </c>
      <c r="B1044" s="1" t="str">
        <f>T("   ZZ_Total_Produit_SH6")</f>
        <v xml:space="preserve">   ZZ_Total_Produit_SH6</v>
      </c>
      <c r="C1044" s="1">
        <v>19117</v>
      </c>
      <c r="D1044" s="1">
        <v>42467304</v>
      </c>
    </row>
    <row r="1045" spans="1:4" s="1" customFormat="1" x14ac:dyDescent="0.25">
      <c r="B1045" s="1" t="str">
        <f>T("Mali")</f>
        <v>Mali</v>
      </c>
    </row>
    <row r="1046" spans="1:4" x14ac:dyDescent="0.25">
      <c r="A1046" t="str">
        <f>T("   200941")</f>
        <v xml:space="preserve">   200941</v>
      </c>
      <c r="B1046" t="str">
        <f>T("   D’UNE VALEUR BRIX N’EXCEDANT PAS 20")</f>
        <v xml:space="preserve">   D’UNE VALEUR BRIX N’EXCEDANT PAS 20</v>
      </c>
      <c r="C1046">
        <v>323900</v>
      </c>
      <c r="D1046">
        <v>66397500</v>
      </c>
    </row>
    <row r="1047" spans="1:4" x14ac:dyDescent="0.25">
      <c r="A1047" t="str">
        <f>T("   220110")</f>
        <v xml:space="preserve">   220110</v>
      </c>
      <c r="B1047" t="str">
        <f>T("   EAUX MINERALES ET EAUX GAZEIFIEES")</f>
        <v xml:space="preserve">   EAUX MINERALES ET EAUX GAZEIFIEES</v>
      </c>
      <c r="C1047">
        <v>29000</v>
      </c>
      <c r="D1047">
        <v>4829500</v>
      </c>
    </row>
    <row r="1048" spans="1:4" x14ac:dyDescent="0.25">
      <c r="A1048" t="str">
        <f>T("   320890")</f>
        <v xml:space="preserve">   320890</v>
      </c>
      <c r="B1048" t="str">
        <f>T("   AUTRES")</f>
        <v xml:space="preserve">   AUTRES</v>
      </c>
      <c r="C1048">
        <v>36000</v>
      </c>
      <c r="D1048">
        <v>63600000</v>
      </c>
    </row>
    <row r="1049" spans="1:4" x14ac:dyDescent="0.25">
      <c r="A1049" t="str">
        <f>T("   392510")</f>
        <v xml:space="preserve">   392510</v>
      </c>
      <c r="B1049" t="str">
        <f>T("   RESERVOIRS, FOUDRES, CUVES ET RECIPIENTS ANALOGUES, D'UNE CONTENANCE EXCEDANT 300 L")</f>
        <v xml:space="preserve">   RESERVOIRS, FOUDRES, CUVES ET RECIPIENTS ANALOGUES, D'UNE CONTENANCE EXCEDANT 300 L</v>
      </c>
      <c r="C1049">
        <v>5000</v>
      </c>
      <c r="D1049">
        <v>1890120</v>
      </c>
    </row>
    <row r="1050" spans="1:4" x14ac:dyDescent="0.25">
      <c r="A1050" t="str">
        <f>T("   481910")</f>
        <v xml:space="preserve">   481910</v>
      </c>
      <c r="B1050" t="str">
        <f>T("   BOITES ET CAISSES EN PAPIER OU CARTON ONDULE")</f>
        <v xml:space="preserve">   BOITES ET CAISSES EN PAPIER OU CARTON ONDULE</v>
      </c>
      <c r="C1050">
        <v>26638</v>
      </c>
      <c r="D1050">
        <v>10640653</v>
      </c>
    </row>
    <row r="1051" spans="1:4" x14ac:dyDescent="0.25">
      <c r="A1051" t="str">
        <f>T("   520819")</f>
        <v xml:space="preserve">   520819</v>
      </c>
      <c r="B1051" t="str">
        <f>T("   AUTRES TISSUS")</f>
        <v xml:space="preserve">   AUTRES TISSUS</v>
      </c>
      <c r="C1051">
        <v>50300</v>
      </c>
      <c r="D1051">
        <v>118474850</v>
      </c>
    </row>
    <row r="1052" spans="1:4" x14ac:dyDescent="0.25">
      <c r="A1052" t="str">
        <f>T("   731021")</f>
        <v xml:space="preserve">   731021</v>
      </c>
      <c r="B1052" t="str">
        <f>T("   BOITES A FERMER PAR SOUDAGE OU SERTISSAGE")</f>
        <v xml:space="preserve">   BOITES A FERMER PAR SOUDAGE OU SERTISSAGE</v>
      </c>
      <c r="C1052">
        <v>97185</v>
      </c>
      <c r="D1052">
        <v>46870269</v>
      </c>
    </row>
    <row r="1053" spans="1:4" x14ac:dyDescent="0.25">
      <c r="A1053" t="str">
        <f>T("   731290")</f>
        <v xml:space="preserve">   731290</v>
      </c>
      <c r="B1053" t="str">
        <f>T("   AUTRES")</f>
        <v xml:space="preserve">   AUTRES</v>
      </c>
      <c r="C1053">
        <v>509</v>
      </c>
      <c r="D1053">
        <v>3478148</v>
      </c>
    </row>
    <row r="1054" spans="1:4" x14ac:dyDescent="0.25">
      <c r="A1054" t="str">
        <f>T("   842630")</f>
        <v xml:space="preserve">   842630</v>
      </c>
      <c r="B1054" t="str">
        <f>T("   GRUES SUR PORTIQUES")</f>
        <v xml:space="preserve">   GRUES SUR PORTIQUES</v>
      </c>
      <c r="C1054">
        <v>41140</v>
      </c>
      <c r="D1054">
        <v>183489067</v>
      </c>
    </row>
    <row r="1055" spans="1:4" x14ac:dyDescent="0.25">
      <c r="A1055" t="str">
        <f>T("   842641")</f>
        <v xml:space="preserve">   842641</v>
      </c>
      <c r="B1055" t="str">
        <f>T("   SUR PNEUMATIQUES")</f>
        <v xml:space="preserve">   SUR PNEUMATIQUES</v>
      </c>
      <c r="C1055">
        <v>41100</v>
      </c>
      <c r="D1055">
        <v>52853977</v>
      </c>
    </row>
    <row r="1056" spans="1:4" x14ac:dyDescent="0.25">
      <c r="A1056" t="str">
        <f>T("   842951")</f>
        <v xml:space="preserve">   842951</v>
      </c>
      <c r="B1056" t="str">
        <f>T("   CHARGEUSES ET CHARGEUSESPELLETEUSES A CHARGEMENT FRONTAL")</f>
        <v xml:space="preserve">   CHARGEUSES ET CHARGEUSESPELLETEUSES A CHARGEMENT FRONTAL</v>
      </c>
      <c r="C1056">
        <v>18066</v>
      </c>
      <c r="D1056">
        <v>105508146</v>
      </c>
    </row>
    <row r="1057" spans="1:4" x14ac:dyDescent="0.25">
      <c r="A1057" t="str">
        <f>T("   843141")</f>
        <v xml:space="preserve">   843141</v>
      </c>
      <c r="B1057" t="str">
        <f>T("   GODETS, BENNES, BENNESPRENEUSES, PELLES, GRAPPINS ET PINCES")</f>
        <v xml:space="preserve">   GODETS, BENNES, BENNESPRENEUSES, PELLES, GRAPPINS ET PINCES</v>
      </c>
      <c r="C1057">
        <v>45075</v>
      </c>
      <c r="D1057">
        <v>126041402</v>
      </c>
    </row>
    <row r="1058" spans="1:4" x14ac:dyDescent="0.25">
      <c r="A1058" t="str">
        <f>T("   870323")</f>
        <v xml:space="preserve">   870323</v>
      </c>
      <c r="B1058" t="str">
        <f>T("   D’UNE CYLINDREE EXCEDANT 1.500 CM³ MAIS N’EXCEDANT PAS 3.000 CM³")</f>
        <v xml:space="preserve">   D’UNE CYLINDREE EXCEDANT 1.500 CM³ MAIS N’EXCEDANT PAS 3.000 CM³</v>
      </c>
      <c r="C1058">
        <v>1500</v>
      </c>
      <c r="D1058">
        <v>4114181</v>
      </c>
    </row>
    <row r="1059" spans="1:4" x14ac:dyDescent="0.25">
      <c r="A1059" t="str">
        <f>T("   940360")</f>
        <v xml:space="preserve">   940360</v>
      </c>
      <c r="B1059" t="str">
        <f>T("   Autres meubles en bois")</f>
        <v xml:space="preserve">   Autres meubles en bois</v>
      </c>
      <c r="C1059">
        <v>3000</v>
      </c>
      <c r="D1059">
        <v>2000000</v>
      </c>
    </row>
    <row r="1060" spans="1:4" x14ac:dyDescent="0.25">
      <c r="A1060" t="str">
        <f>T("   940389")</f>
        <v xml:space="preserve">   940389</v>
      </c>
      <c r="B1060" t="str">
        <f>T("   AUTRES")</f>
        <v xml:space="preserve">   AUTRES</v>
      </c>
      <c r="C1060">
        <v>10000</v>
      </c>
      <c r="D1060">
        <v>500000</v>
      </c>
    </row>
    <row r="1061" spans="1:4" s="1" customFormat="1" x14ac:dyDescent="0.25">
      <c r="A1061" s="1" t="str">
        <f>T("   ZZ_Total_Produit_SH6")</f>
        <v xml:space="preserve">   ZZ_Total_Produit_SH6</v>
      </c>
      <c r="B1061" s="1" t="str">
        <f>T("   ZZ_Total_Produit_SH6")</f>
        <v xml:space="preserve">   ZZ_Total_Produit_SH6</v>
      </c>
      <c r="C1061" s="1">
        <v>728413</v>
      </c>
      <c r="D1061" s="1">
        <v>790687813</v>
      </c>
    </row>
    <row r="1062" spans="1:4" s="1" customFormat="1" x14ac:dyDescent="0.25">
      <c r="B1062" s="1" t="str">
        <f>T("Mauritanie")</f>
        <v>Mauritanie</v>
      </c>
    </row>
    <row r="1063" spans="1:4" x14ac:dyDescent="0.25">
      <c r="A1063" t="str">
        <f>T("   040229")</f>
        <v xml:space="preserve">   040229</v>
      </c>
      <c r="B1063" t="str">
        <f>T("   AUTRES")</f>
        <v xml:space="preserve">   AUTRES</v>
      </c>
      <c r="C1063">
        <v>25000</v>
      </c>
      <c r="D1063">
        <v>5000000</v>
      </c>
    </row>
    <row r="1064" spans="1:4" x14ac:dyDescent="0.25">
      <c r="A1064" t="str">
        <f>T("   210690")</f>
        <v xml:space="preserve">   210690</v>
      </c>
      <c r="B1064" t="str">
        <f>T("   AUTRES")</f>
        <v xml:space="preserve">   AUTRES</v>
      </c>
      <c r="C1064">
        <v>31740</v>
      </c>
      <c r="D1064">
        <v>200000</v>
      </c>
    </row>
    <row r="1065" spans="1:4" x14ac:dyDescent="0.25">
      <c r="A1065" t="str">
        <f>T("   847431")</f>
        <v xml:space="preserve">   847431</v>
      </c>
      <c r="B1065" t="str">
        <f>T("   BETONNIERES ET APPAREILS A GACHER LE CIMENT")</f>
        <v xml:space="preserve">   BETONNIERES ET APPAREILS A GACHER LE CIMENT</v>
      </c>
      <c r="C1065">
        <v>53000</v>
      </c>
      <c r="D1065">
        <v>2504000</v>
      </c>
    </row>
    <row r="1066" spans="1:4" x14ac:dyDescent="0.25">
      <c r="A1066" t="str">
        <f>T("   850211")</f>
        <v xml:space="preserve">   850211</v>
      </c>
      <c r="B1066" t="str">
        <f>T("   D'UNE PUISSANCE N'EXCEDANT PAS 75 KVA")</f>
        <v xml:space="preserve">   D'UNE PUISSANCE N'EXCEDANT PAS 75 KVA</v>
      </c>
      <c r="C1066">
        <v>9400</v>
      </c>
      <c r="D1066">
        <v>1645700</v>
      </c>
    </row>
    <row r="1067" spans="1:4" x14ac:dyDescent="0.25">
      <c r="A1067" t="str">
        <f>T("   871680")</f>
        <v xml:space="preserve">   871680</v>
      </c>
      <c r="B1067" t="str">
        <f>T("   AUTRES VEHICULES")</f>
        <v xml:space="preserve">   AUTRES VEHICULES</v>
      </c>
      <c r="C1067">
        <v>10500</v>
      </c>
      <c r="D1067">
        <v>3590000</v>
      </c>
    </row>
    <row r="1068" spans="1:4" s="1" customFormat="1" x14ac:dyDescent="0.25">
      <c r="A1068" s="1" t="str">
        <f>T("   ZZ_Total_Produit_SH6")</f>
        <v xml:space="preserve">   ZZ_Total_Produit_SH6</v>
      </c>
      <c r="B1068" s="1" t="str">
        <f>T("   ZZ_Total_Produit_SH6")</f>
        <v xml:space="preserve">   ZZ_Total_Produit_SH6</v>
      </c>
      <c r="C1068" s="1">
        <v>129640</v>
      </c>
      <c r="D1068" s="1">
        <v>12939700</v>
      </c>
    </row>
    <row r="1069" spans="1:4" s="1" customFormat="1" x14ac:dyDescent="0.25">
      <c r="B1069" s="1" t="str">
        <f>T("Malaisie")</f>
        <v>Malaisie</v>
      </c>
    </row>
    <row r="1070" spans="1:4" x14ac:dyDescent="0.25">
      <c r="A1070" t="str">
        <f>T("   040510")</f>
        <v xml:space="preserve">   040510</v>
      </c>
      <c r="B1070" t="str">
        <f>T("   BEURRE")</f>
        <v xml:space="preserve">   BEURRE</v>
      </c>
      <c r="C1070">
        <v>5109108</v>
      </c>
      <c r="D1070">
        <v>3108966196</v>
      </c>
    </row>
    <row r="1071" spans="1:4" x14ac:dyDescent="0.25">
      <c r="A1071" t="str">
        <f>T("   120799")</f>
        <v xml:space="preserve">   120799</v>
      </c>
      <c r="B1071" t="str">
        <f>T("   AUTRES")</f>
        <v xml:space="preserve">   AUTRES</v>
      </c>
      <c r="C1071">
        <v>163992</v>
      </c>
      <c r="D1071">
        <v>29597958</v>
      </c>
    </row>
    <row r="1072" spans="1:4" x14ac:dyDescent="0.25">
      <c r="A1072" t="str">
        <f>T("   392390")</f>
        <v xml:space="preserve">   392390</v>
      </c>
      <c r="B1072" t="str">
        <f>T("   AUTRES")</f>
        <v xml:space="preserve">   AUTRES</v>
      </c>
      <c r="C1072">
        <v>29952</v>
      </c>
      <c r="D1072">
        <v>67565311</v>
      </c>
    </row>
    <row r="1073" spans="1:4" x14ac:dyDescent="0.25">
      <c r="A1073" t="str">
        <f>T("   481920")</f>
        <v xml:space="preserve">   481920</v>
      </c>
      <c r="B1073" t="str">
        <f>T("   BOITES ET CARTONNAGES, PLIANTS, EN PAPIER OU CARTON NON ONDULE")</f>
        <v xml:space="preserve">   BOITES ET CARTONNAGES, PLIANTS, EN PAPIER OU CARTON NON ONDULE</v>
      </c>
      <c r="C1073">
        <v>4260</v>
      </c>
      <c r="D1073">
        <v>4088000</v>
      </c>
    </row>
    <row r="1074" spans="1:4" x14ac:dyDescent="0.25">
      <c r="A1074" t="str">
        <f>T("   520100")</f>
        <v xml:space="preserve">   520100</v>
      </c>
      <c r="B1074" t="str">
        <f>T("   COTON, NON CARDE NI PEIGNE.")</f>
        <v xml:space="preserve">   COTON, NON CARDE NI PEIGNE.</v>
      </c>
      <c r="C1074">
        <v>10182857</v>
      </c>
      <c r="D1074">
        <v>9085812542</v>
      </c>
    </row>
    <row r="1075" spans="1:4" x14ac:dyDescent="0.25">
      <c r="A1075" t="str">
        <f>T("   520299")</f>
        <v xml:space="preserve">   520299</v>
      </c>
      <c r="B1075" t="str">
        <f>T("   AUTRES")</f>
        <v xml:space="preserve">   AUTRES</v>
      </c>
      <c r="C1075">
        <v>60000</v>
      </c>
      <c r="D1075">
        <v>9000000</v>
      </c>
    </row>
    <row r="1076" spans="1:4" x14ac:dyDescent="0.25">
      <c r="A1076" t="str">
        <f>T("   720429")</f>
        <v xml:space="preserve">   720429</v>
      </c>
      <c r="B1076" t="str">
        <f>T("   AUTRES")</f>
        <v xml:space="preserve">   AUTRES</v>
      </c>
      <c r="C1076">
        <v>10000</v>
      </c>
      <c r="D1076">
        <v>500000</v>
      </c>
    </row>
    <row r="1077" spans="1:4" x14ac:dyDescent="0.25">
      <c r="A1077" t="str">
        <f>T("   720449")</f>
        <v xml:space="preserve">   720449</v>
      </c>
      <c r="B1077" t="str">
        <f>T("   AUTRES")</f>
        <v xml:space="preserve">   AUTRES</v>
      </c>
      <c r="C1077">
        <v>10000</v>
      </c>
      <c r="D1077">
        <v>500000</v>
      </c>
    </row>
    <row r="1078" spans="1:4" x14ac:dyDescent="0.25">
      <c r="A1078" t="str">
        <f>T("   841430")</f>
        <v xml:space="preserve">   841430</v>
      </c>
      <c r="B1078" t="str">
        <f>T("   COMPRESSEURS DES TYPES UTILISES DANS LES EQUIPEMENTS FRIGORIFIQUES")</f>
        <v xml:space="preserve">   COMPRESSEURS DES TYPES UTILISES DANS LES EQUIPEMENTS FRIGORIFIQUES</v>
      </c>
      <c r="C1078">
        <v>10000</v>
      </c>
      <c r="D1078">
        <v>6223700</v>
      </c>
    </row>
    <row r="1079" spans="1:4" x14ac:dyDescent="0.25">
      <c r="A1079" t="str">
        <f>T("   842430")</f>
        <v xml:space="preserve">   842430</v>
      </c>
      <c r="B1079" t="str">
        <f>T("   MACHINES ET APPAREILS A JET DE SABLE, A JET DE VAPEUR ET APPAREILS A JET SIMILAIRES")</f>
        <v xml:space="preserve">   MACHINES ET APPAREILS A JET DE SABLE, A JET DE VAPEUR ET APPAREILS A JET SIMILAIRES</v>
      </c>
      <c r="C1079">
        <v>32885</v>
      </c>
      <c r="D1079">
        <v>138908005</v>
      </c>
    </row>
    <row r="1080" spans="1:4" x14ac:dyDescent="0.25">
      <c r="A1080" t="str">
        <f>T("   851440")</f>
        <v xml:space="preserve">   851440</v>
      </c>
      <c r="B1080" t="str">
        <f>T("   AUTRES APPAREILS POUR LE TRAITEMENT THERMIQUE DES MATIERES PAR INDUCTION OU PAR PERTE")</f>
        <v xml:space="preserve">   AUTRES APPAREILS POUR LE TRAITEMENT THERMIQUE DES MATIERES PAR INDUCTION OU PAR PERTE</v>
      </c>
      <c r="C1080">
        <v>18461</v>
      </c>
      <c r="D1080">
        <v>99315315</v>
      </c>
    </row>
    <row r="1081" spans="1:4" x14ac:dyDescent="0.25">
      <c r="A1081" t="str">
        <f>T("   851490")</f>
        <v xml:space="preserve">   851490</v>
      </c>
      <c r="B1081" t="str">
        <f>T("   PARTIES")</f>
        <v xml:space="preserve">   PARTIES</v>
      </c>
      <c r="C1081">
        <v>22006</v>
      </c>
      <c r="D1081">
        <v>6232662</v>
      </c>
    </row>
    <row r="1082" spans="1:4" x14ac:dyDescent="0.25">
      <c r="A1082" t="str">
        <f>T("   880330")</f>
        <v xml:space="preserve">   880330</v>
      </c>
      <c r="B1082" t="str">
        <f>T("   AUTRES PARTIES D'AVIONS OU D'HELICOPTERES")</f>
        <v xml:space="preserve">   AUTRES PARTIES D'AVIONS OU D'HELICOPTERES</v>
      </c>
      <c r="C1082">
        <v>3</v>
      </c>
      <c r="D1082">
        <v>1078687</v>
      </c>
    </row>
    <row r="1083" spans="1:4" x14ac:dyDescent="0.25">
      <c r="A1083" t="str">
        <f>T("   903281")</f>
        <v xml:space="preserve">   903281</v>
      </c>
      <c r="B1083" t="str">
        <f>T("   HYDRAULIQUES OU PNEUMATIQUES")</f>
        <v xml:space="preserve">   HYDRAULIQUES OU PNEUMATIQUES</v>
      </c>
      <c r="C1083">
        <v>840</v>
      </c>
      <c r="D1083">
        <v>17542947</v>
      </c>
    </row>
    <row r="1084" spans="1:4" s="1" customFormat="1" x14ac:dyDescent="0.25">
      <c r="A1084" s="1" t="str">
        <f>T("   ZZ_Total_Produit_SH6")</f>
        <v xml:space="preserve">   ZZ_Total_Produit_SH6</v>
      </c>
      <c r="B1084" s="1" t="str">
        <f>T("   ZZ_Total_Produit_SH6")</f>
        <v xml:space="preserve">   ZZ_Total_Produit_SH6</v>
      </c>
      <c r="C1084" s="1">
        <v>15654364</v>
      </c>
      <c r="D1084" s="1">
        <v>12575331323</v>
      </c>
    </row>
    <row r="1085" spans="1:4" s="1" customFormat="1" x14ac:dyDescent="0.25">
      <c r="B1085" s="1" t="str">
        <f>T("Mozambique")</f>
        <v>Mozambique</v>
      </c>
    </row>
    <row r="1086" spans="1:4" x14ac:dyDescent="0.25">
      <c r="A1086" t="str">
        <f>T("   940389")</f>
        <v xml:space="preserve">   940389</v>
      </c>
      <c r="B1086" t="str">
        <f>T("   AUTRES")</f>
        <v xml:space="preserve">   AUTRES</v>
      </c>
      <c r="C1086">
        <v>10000</v>
      </c>
      <c r="D1086">
        <v>500000</v>
      </c>
    </row>
    <row r="1087" spans="1:4" s="1" customFormat="1" x14ac:dyDescent="0.25">
      <c r="A1087" s="1" t="str">
        <f>T("   ZZ_Total_Produit_SH6")</f>
        <v xml:space="preserve">   ZZ_Total_Produit_SH6</v>
      </c>
      <c r="B1087" s="1" t="str">
        <f>T("   ZZ_Total_Produit_SH6")</f>
        <v xml:space="preserve">   ZZ_Total_Produit_SH6</v>
      </c>
      <c r="C1087" s="1">
        <v>10000</v>
      </c>
      <c r="D1087" s="1">
        <v>500000</v>
      </c>
    </row>
    <row r="1088" spans="1:4" s="1" customFormat="1" x14ac:dyDescent="0.25">
      <c r="B1088" s="1" t="str">
        <f>T("Namibie")</f>
        <v>Namibie</v>
      </c>
    </row>
    <row r="1089" spans="1:4" x14ac:dyDescent="0.25">
      <c r="A1089" t="str">
        <f>T("   870322")</f>
        <v xml:space="preserve">   870322</v>
      </c>
      <c r="B1089" t="str">
        <f>T("   D’UNE CYLINDREE EXCEDANT 1.000 CM³ MAIS N’EXCEDANT PAS 1.500 CM³")</f>
        <v xml:space="preserve">   D’UNE CYLINDREE EXCEDANT 1.000 CM³ MAIS N’EXCEDANT PAS 1.500 CM³</v>
      </c>
      <c r="C1089">
        <v>3000</v>
      </c>
      <c r="D1089">
        <v>2000000</v>
      </c>
    </row>
    <row r="1090" spans="1:4" x14ac:dyDescent="0.25">
      <c r="A1090" t="str">
        <f>T("   870324")</f>
        <v xml:space="preserve">   870324</v>
      </c>
      <c r="B1090" t="str">
        <f>T("   D’UNE CYLINDREE EXCEDANT 3.000 CM³")</f>
        <v xml:space="preserve">   D’UNE CYLINDREE EXCEDANT 3.000 CM³</v>
      </c>
      <c r="C1090">
        <v>2200</v>
      </c>
      <c r="D1090">
        <v>10954532</v>
      </c>
    </row>
    <row r="1091" spans="1:4" x14ac:dyDescent="0.25">
      <c r="A1091" t="str">
        <f>T("   871120")</f>
        <v xml:space="preserve">   871120</v>
      </c>
      <c r="B1091" t="str">
        <f>T("   A MOTEUR A PISTON ALTERNATIF, D'UNE CYLINDREE EXCEDANT 50 CM³ MAIS N'EXCEDANT PAS 250")</f>
        <v xml:space="preserve">   A MOTEUR A PISTON ALTERNATIF, D'UNE CYLINDREE EXCEDANT 50 CM³ MAIS N'EXCEDANT PAS 250</v>
      </c>
      <c r="C1091">
        <v>219</v>
      </c>
      <c r="D1091">
        <v>501809</v>
      </c>
    </row>
    <row r="1092" spans="1:4" s="1" customFormat="1" x14ac:dyDescent="0.25">
      <c r="A1092" s="1" t="str">
        <f>T("   ZZ_Total_Produit_SH6")</f>
        <v xml:space="preserve">   ZZ_Total_Produit_SH6</v>
      </c>
      <c r="B1092" s="1" t="str">
        <f>T("   ZZ_Total_Produit_SH6")</f>
        <v xml:space="preserve">   ZZ_Total_Produit_SH6</v>
      </c>
      <c r="C1092" s="1">
        <v>5419</v>
      </c>
      <c r="D1092" s="1">
        <v>13456341</v>
      </c>
    </row>
    <row r="1093" spans="1:4" s="1" customFormat="1" x14ac:dyDescent="0.25">
      <c r="B1093" s="1" t="str">
        <f>T("Niger")</f>
        <v>Niger</v>
      </c>
    </row>
    <row r="1094" spans="1:4" x14ac:dyDescent="0.25">
      <c r="A1094" t="str">
        <f>T("   030219")</f>
        <v xml:space="preserve">   030219</v>
      </c>
      <c r="B1094" t="str">
        <f>T("   AUTRES")</f>
        <v xml:space="preserve">   AUTRES</v>
      </c>
      <c r="C1094">
        <v>51000</v>
      </c>
      <c r="D1094">
        <v>2873078</v>
      </c>
    </row>
    <row r="1095" spans="1:4" x14ac:dyDescent="0.25">
      <c r="A1095" t="str">
        <f>T("   100110")</f>
        <v xml:space="preserve">   100110</v>
      </c>
      <c r="B1095" t="str">
        <f>T("   Froment (ble) dur")</f>
        <v xml:space="preserve">   Froment (ble) dur</v>
      </c>
      <c r="C1095">
        <v>513590</v>
      </c>
      <c r="D1095">
        <v>106115556</v>
      </c>
    </row>
    <row r="1096" spans="1:4" x14ac:dyDescent="0.25">
      <c r="A1096" t="str">
        <f>T("   110311")</f>
        <v xml:space="preserve">   110311</v>
      </c>
      <c r="B1096" t="str">
        <f>T("   DE FROMENT (BLE)")</f>
        <v xml:space="preserve">   DE FROMENT (BLE)</v>
      </c>
      <c r="C1096">
        <v>284124</v>
      </c>
      <c r="D1096">
        <v>90287687</v>
      </c>
    </row>
    <row r="1097" spans="1:4" x14ac:dyDescent="0.25">
      <c r="A1097" t="str">
        <f>T("   110423")</f>
        <v xml:space="preserve">   110423</v>
      </c>
      <c r="B1097" t="str">
        <f>T("   DE MAIS")</f>
        <v xml:space="preserve">   DE MAIS</v>
      </c>
      <c r="C1097">
        <v>315000</v>
      </c>
      <c r="D1097">
        <v>105265000</v>
      </c>
    </row>
    <row r="1098" spans="1:4" x14ac:dyDescent="0.25">
      <c r="A1098" t="str">
        <f>T("   151110")</f>
        <v xml:space="preserve">   151110</v>
      </c>
      <c r="B1098" t="str">
        <f>T("   HUILE BRUTE")</f>
        <v xml:space="preserve">   HUILE BRUTE</v>
      </c>
      <c r="C1098">
        <v>3709</v>
      </c>
      <c r="D1098">
        <v>2002175</v>
      </c>
    </row>
    <row r="1099" spans="1:4" x14ac:dyDescent="0.25">
      <c r="A1099" t="str">
        <f>T("   170111")</f>
        <v xml:space="preserve">   170111</v>
      </c>
      <c r="B1099" t="str">
        <f>T("   SUCRES BRUTS DE CANNE,SANS AROMATISANTS NI COLORANTS")</f>
        <v xml:space="preserve">   SUCRES BRUTS DE CANNE,SANS AROMATISANTS NI COLORANTS</v>
      </c>
      <c r="C1099">
        <v>15500000</v>
      </c>
      <c r="D1099">
        <v>4370000000</v>
      </c>
    </row>
    <row r="1100" spans="1:4" x14ac:dyDescent="0.25">
      <c r="A1100" t="str">
        <f>T("   190230")</f>
        <v xml:space="preserve">   190230</v>
      </c>
      <c r="B1100" t="str">
        <f>T("   AUTRES PATES ALIMENTAIRES")</f>
        <v xml:space="preserve">   AUTRES PATES ALIMENTAIRES</v>
      </c>
      <c r="C1100">
        <v>201500</v>
      </c>
      <c r="D1100">
        <v>99505700</v>
      </c>
    </row>
    <row r="1101" spans="1:4" x14ac:dyDescent="0.25">
      <c r="A1101" t="str">
        <f>T("   200941")</f>
        <v xml:space="preserve">   200941</v>
      </c>
      <c r="B1101" t="str">
        <f>T("   D’UNE VALEUR BRIX N’EXCEDANT PAS 20")</f>
        <v xml:space="preserve">   D’UNE VALEUR BRIX N’EXCEDANT PAS 20</v>
      </c>
      <c r="C1101">
        <v>162750</v>
      </c>
      <c r="D1101">
        <v>35812500</v>
      </c>
    </row>
    <row r="1102" spans="1:4" x14ac:dyDescent="0.25">
      <c r="A1102" t="str">
        <f>T("   200949")</f>
        <v xml:space="preserve">   200949</v>
      </c>
      <c r="B1102" t="str">
        <f>T("   AUTRES")</f>
        <v xml:space="preserve">   AUTRES</v>
      </c>
      <c r="C1102">
        <v>2500</v>
      </c>
      <c r="D1102">
        <v>551000</v>
      </c>
    </row>
    <row r="1103" spans="1:4" x14ac:dyDescent="0.25">
      <c r="A1103" t="str">
        <f>T("   220110")</f>
        <v xml:space="preserve">   220110</v>
      </c>
      <c r="B1103" t="str">
        <f>T("   EAUX MINERALES ET EAUX GAZEIFIEES")</f>
        <v xml:space="preserve">   EAUX MINERALES ET EAUX GAZEIFIEES</v>
      </c>
      <c r="C1103">
        <v>56460</v>
      </c>
      <c r="D1103">
        <v>7434930</v>
      </c>
    </row>
    <row r="1104" spans="1:4" x14ac:dyDescent="0.25">
      <c r="A1104" t="str">
        <f>T("   220210")</f>
        <v xml:space="preserve">   220210</v>
      </c>
      <c r="B1104" t="str">
        <f>T("   EAUX, Y COMPRIS LES EAUX MINERALES ET LES EAUX GAZEIFIEES, ADDITIONNEES DE SUCRE OU D")</f>
        <v xml:space="preserve">   EAUX, Y COMPRIS LES EAUX MINERALES ET LES EAUX GAZEIFIEES, ADDITIONNEES DE SUCRE OU D</v>
      </c>
      <c r="C1104">
        <v>2240</v>
      </c>
      <c r="D1104">
        <v>861855</v>
      </c>
    </row>
    <row r="1105" spans="1:4" x14ac:dyDescent="0.25">
      <c r="A1105" t="str">
        <f>T("   230230")</f>
        <v xml:space="preserve">   230230</v>
      </c>
      <c r="B1105" t="str">
        <f>T("   DE FROMENT")</f>
        <v xml:space="preserve">   DE FROMENT</v>
      </c>
      <c r="C1105">
        <v>545590</v>
      </c>
      <c r="D1105">
        <v>81635556</v>
      </c>
    </row>
    <row r="1106" spans="1:4" x14ac:dyDescent="0.25">
      <c r="A1106" t="str">
        <f>T("   252310")</f>
        <v xml:space="preserve">   252310</v>
      </c>
      <c r="B1106" t="str">
        <f>T("   CIMENTS NON PULVERISES DITS «CLINKERS»")</f>
        <v xml:space="preserve">   CIMENTS NON PULVERISES DITS «CLINKERS»</v>
      </c>
      <c r="C1106">
        <v>123000000</v>
      </c>
      <c r="D1106">
        <v>8856000000</v>
      </c>
    </row>
    <row r="1107" spans="1:4" x14ac:dyDescent="0.25">
      <c r="A1107" t="str">
        <f>T("   252329")</f>
        <v xml:space="preserve">   252329</v>
      </c>
      <c r="B1107" t="str">
        <f>T("   AUTRES")</f>
        <v xml:space="preserve">   AUTRES</v>
      </c>
      <c r="C1107">
        <v>101947000</v>
      </c>
      <c r="D1107">
        <v>6387261000</v>
      </c>
    </row>
    <row r="1108" spans="1:4" x14ac:dyDescent="0.25">
      <c r="A1108" t="str">
        <f>T("   280519")</f>
        <v xml:space="preserve">   280519</v>
      </c>
      <c r="B1108" t="str">
        <f>T("   AUTRES")</f>
        <v xml:space="preserve">   AUTRES</v>
      </c>
      <c r="C1108">
        <v>834</v>
      </c>
      <c r="D1108">
        <v>350000</v>
      </c>
    </row>
    <row r="1109" spans="1:4" x14ac:dyDescent="0.25">
      <c r="A1109" t="str">
        <f>T("   300590")</f>
        <v xml:space="preserve">   300590</v>
      </c>
      <c r="B1109" t="str">
        <f>T("   AUTRES")</f>
        <v xml:space="preserve">   AUTRES</v>
      </c>
      <c r="C1109">
        <v>3100</v>
      </c>
      <c r="D1109">
        <v>13800000</v>
      </c>
    </row>
    <row r="1110" spans="1:4" x14ac:dyDescent="0.25">
      <c r="A1110" t="str">
        <f>T("   321000")</f>
        <v xml:space="preserve">   321000</v>
      </c>
      <c r="B1110" t="str">
        <f>T("   AUTRES PEINTURES ET VERNIS; PIGMENTS A L'EAU PREPARES DES TYPES UTILISES POUR LE FINISS")</f>
        <v xml:space="preserve">   AUTRES PEINTURES ET VERNIS; PIGMENTS A L'EAU PREPARES DES TYPES UTILISES POUR LE FINISS</v>
      </c>
      <c r="C1110">
        <v>1250</v>
      </c>
      <c r="D1110">
        <v>18055620</v>
      </c>
    </row>
    <row r="1111" spans="1:4" x14ac:dyDescent="0.25">
      <c r="A1111" t="str">
        <f>T("   391721")</f>
        <v xml:space="preserve">   391721</v>
      </c>
      <c r="B1111" t="str">
        <f>T("   EN POLYMERES DE L'ETHYLENE")</f>
        <v xml:space="preserve">   EN POLYMERES DE L'ETHYLENE</v>
      </c>
      <c r="C1111">
        <v>10985</v>
      </c>
      <c r="D1111">
        <v>13140617</v>
      </c>
    </row>
    <row r="1112" spans="1:4" x14ac:dyDescent="0.25">
      <c r="A1112" t="str">
        <f>T("   391723")</f>
        <v xml:space="preserve">   391723</v>
      </c>
      <c r="B1112" t="str">
        <f>T("   EN POLYMERES DU CHLORURE DE VINYLE")</f>
        <v xml:space="preserve">   EN POLYMERES DU CHLORURE DE VINYLE</v>
      </c>
      <c r="C1112">
        <v>190005</v>
      </c>
      <c r="D1112">
        <v>50256650</v>
      </c>
    </row>
    <row r="1113" spans="1:4" x14ac:dyDescent="0.25">
      <c r="A1113" t="str">
        <f>T("   391732")</f>
        <v xml:space="preserve">   391732</v>
      </c>
      <c r="B1113" t="str">
        <f>T("   AUTRES, NON RENFORCES D'AUTRES MATIERES NI AUTREMENT ASSOCIES A D'AUTRES MATIERES, S")</f>
        <v xml:space="preserve">   AUTRES, NON RENFORCES D'AUTRES MATIERES NI AUTREMENT ASSOCIES A D'AUTRES MATIERES, S</v>
      </c>
      <c r="C1113">
        <v>18620</v>
      </c>
      <c r="D1113">
        <v>19444000</v>
      </c>
    </row>
    <row r="1114" spans="1:4" x14ac:dyDescent="0.25">
      <c r="A1114" t="str">
        <f>T("   391733")</f>
        <v xml:space="preserve">   391733</v>
      </c>
      <c r="B1114" t="str">
        <f>T("   AUTRES, NON RENFORCES D'AUTRES MATIERES NI AUTREMENT ASSOCIES A D'AUTRES MATIERES, A")</f>
        <v xml:space="preserve">   AUTRES, NON RENFORCES D'AUTRES MATIERES NI AUTREMENT ASSOCIES A D'AUTRES MATIERES, A</v>
      </c>
      <c r="C1114">
        <v>965</v>
      </c>
      <c r="D1114">
        <v>3010900</v>
      </c>
    </row>
    <row r="1115" spans="1:4" x14ac:dyDescent="0.25">
      <c r="A1115" t="str">
        <f>T("   391739")</f>
        <v xml:space="preserve">   391739</v>
      </c>
      <c r="B1115" t="str">
        <f>T("   AUTRES")</f>
        <v xml:space="preserve">   AUTRES</v>
      </c>
      <c r="C1115">
        <v>2615</v>
      </c>
      <c r="D1115">
        <v>3455400</v>
      </c>
    </row>
    <row r="1116" spans="1:4" x14ac:dyDescent="0.25">
      <c r="A1116" t="str">
        <f>T("   392020")</f>
        <v xml:space="preserve">   392020</v>
      </c>
      <c r="B1116" t="str">
        <f>T("   EN POLYMERES DU PROPYLENE")</f>
        <v xml:space="preserve">   EN POLYMERES DU PROPYLENE</v>
      </c>
      <c r="C1116">
        <v>1395</v>
      </c>
      <c r="D1116">
        <v>2581278</v>
      </c>
    </row>
    <row r="1117" spans="1:4" x14ac:dyDescent="0.25">
      <c r="A1117" t="str">
        <f>T("   392329")</f>
        <v xml:space="preserve">   392329</v>
      </c>
      <c r="B1117" t="str">
        <f>T("   EN AUTRES MATIERES PLASTIQUES")</f>
        <v xml:space="preserve">   EN AUTRES MATIERES PLASTIQUES</v>
      </c>
      <c r="C1117">
        <v>310</v>
      </c>
      <c r="D1117">
        <v>536984</v>
      </c>
    </row>
    <row r="1118" spans="1:4" x14ac:dyDescent="0.25">
      <c r="A1118" t="str">
        <f>T("   441820")</f>
        <v xml:space="preserve">   441820</v>
      </c>
      <c r="B1118" t="str">
        <f>T("   PORTES ET LEURS CADRES, CHAMBRANLES ET SEUILS")</f>
        <v xml:space="preserve">   PORTES ET LEURS CADRES, CHAMBRANLES ET SEUILS</v>
      </c>
      <c r="C1118">
        <v>500</v>
      </c>
      <c r="D1118">
        <v>245000</v>
      </c>
    </row>
    <row r="1119" spans="1:4" x14ac:dyDescent="0.25">
      <c r="A1119" t="str">
        <f>T("   481910")</f>
        <v xml:space="preserve">   481910</v>
      </c>
      <c r="B1119" t="str">
        <f>T("   BOITES ET CAISSES EN PAPIER OU CARTON ONDULE")</f>
        <v xml:space="preserve">   BOITES ET CAISSES EN PAPIER OU CARTON ONDULE</v>
      </c>
      <c r="C1119">
        <v>14859</v>
      </c>
      <c r="D1119">
        <v>5744702</v>
      </c>
    </row>
    <row r="1120" spans="1:4" x14ac:dyDescent="0.25">
      <c r="A1120" t="str">
        <f>T("   481960")</f>
        <v xml:space="preserve">   481960</v>
      </c>
      <c r="B1120" t="str">
        <f>T("   CARTONNAGES DE BUREAU, DE MAGASIN OU SIMILAIRES")</f>
        <v xml:space="preserve">   CARTONNAGES DE BUREAU, DE MAGASIN OU SIMILAIRES</v>
      </c>
      <c r="C1120">
        <v>5945</v>
      </c>
      <c r="D1120">
        <v>3750282</v>
      </c>
    </row>
    <row r="1121" spans="1:4" x14ac:dyDescent="0.25">
      <c r="A1121" t="str">
        <f>T("   490700")</f>
        <v xml:space="preserve">   490700</v>
      </c>
      <c r="B1121" t="str">
        <f>T("   TIMBRESPOSTE, TIMBRES FISCAUX ET ANALOGUES, NON OBLITERES, AYANT COURS OU DESTINES A A")</f>
        <v xml:space="preserve">   TIMBRESPOSTE, TIMBRES FISCAUX ET ANALOGUES, NON OBLITERES, AYANT COURS OU DESTINES A A</v>
      </c>
      <c r="C1121">
        <v>3720</v>
      </c>
      <c r="D1121">
        <v>8000000</v>
      </c>
    </row>
    <row r="1122" spans="1:4" x14ac:dyDescent="0.25">
      <c r="A1122" t="str">
        <f>T("   491110")</f>
        <v xml:space="preserve">   491110</v>
      </c>
      <c r="B1122" t="str">
        <f>T("   IMPRIMES PUBLICITAIRES, CATALOGUES COMMERCIAUX ET SIMILAIRES")</f>
        <v xml:space="preserve">   IMPRIMES PUBLICITAIRES, CATALOGUES COMMERCIAUX ET SIMILAIRES</v>
      </c>
      <c r="C1122">
        <v>313</v>
      </c>
      <c r="D1122">
        <v>150594</v>
      </c>
    </row>
    <row r="1123" spans="1:4" x14ac:dyDescent="0.25">
      <c r="A1123" t="str">
        <f>T("   520819")</f>
        <v xml:space="preserve">   520819</v>
      </c>
      <c r="B1123" t="str">
        <f>T("   AUTRES TISSUS")</f>
        <v xml:space="preserve">   AUTRES TISSUS</v>
      </c>
      <c r="C1123">
        <v>251473</v>
      </c>
      <c r="D1123">
        <v>571588800</v>
      </c>
    </row>
    <row r="1124" spans="1:4" x14ac:dyDescent="0.25">
      <c r="A1124" t="str">
        <f>T("   630900")</f>
        <v xml:space="preserve">   630900</v>
      </c>
      <c r="B1124" t="str">
        <f>T("   ARTICLES DE FRIPERIE.")</f>
        <v xml:space="preserve">   ARTICLES DE FRIPERIE.</v>
      </c>
      <c r="C1124">
        <v>340</v>
      </c>
      <c r="D1124">
        <v>1420000</v>
      </c>
    </row>
    <row r="1125" spans="1:4" x14ac:dyDescent="0.25">
      <c r="A1125" t="str">
        <f>T("   720836")</f>
        <v xml:space="preserve">   720836</v>
      </c>
      <c r="B1125" t="str">
        <f>T("   D'UNE EPAISSEUR EXCEDANT 10 MM")</f>
        <v xml:space="preserve">   D'UNE EPAISSEUR EXCEDANT 10 MM</v>
      </c>
      <c r="C1125">
        <v>72430</v>
      </c>
      <c r="D1125">
        <v>26180402</v>
      </c>
    </row>
    <row r="1126" spans="1:4" x14ac:dyDescent="0.25">
      <c r="A1126" t="str">
        <f>T("   720853")</f>
        <v xml:space="preserve">   720853</v>
      </c>
      <c r="B1126" t="str">
        <f>T("   D'UNE EPAISSEUR DE 3 MM OU PLUS MAIS INFERIEURE A 4,75 MM")</f>
        <v xml:space="preserve">   D'UNE EPAISSEUR DE 3 MM OU PLUS MAIS INFERIEURE A 4,75 MM</v>
      </c>
      <c r="C1126">
        <v>10000</v>
      </c>
      <c r="D1126">
        <v>3500000</v>
      </c>
    </row>
    <row r="1127" spans="1:4" x14ac:dyDescent="0.25">
      <c r="A1127" t="str">
        <f>T("   720890")</f>
        <v xml:space="preserve">   720890</v>
      </c>
      <c r="B1127" t="str">
        <f>T("   AUTRES")</f>
        <v xml:space="preserve">   AUTRES</v>
      </c>
      <c r="C1127">
        <v>90000</v>
      </c>
      <c r="D1127">
        <v>32411910</v>
      </c>
    </row>
    <row r="1128" spans="1:4" x14ac:dyDescent="0.25">
      <c r="A1128" t="str">
        <f>T("   720916")</f>
        <v xml:space="preserve">   720916</v>
      </c>
      <c r="B1128" t="str">
        <f>T("   D'UNE EPAISSEUR EXCEDANT 1 MM MAIS INFERIEURE A 3 MM")</f>
        <v xml:space="preserve">   D'UNE EPAISSEUR EXCEDANT 1 MM MAIS INFERIEURE A 3 MM</v>
      </c>
      <c r="C1128">
        <v>41000</v>
      </c>
      <c r="D1128">
        <v>15580000</v>
      </c>
    </row>
    <row r="1129" spans="1:4" x14ac:dyDescent="0.25">
      <c r="A1129" t="str">
        <f>T("   720926")</f>
        <v xml:space="preserve">   720926</v>
      </c>
      <c r="B1129" t="str">
        <f>T("   D'UNE EPAISSEUR EXCEDANT 1 MM MAIS INFERIEURE A 3 MM")</f>
        <v xml:space="preserve">   D'UNE EPAISSEUR EXCEDANT 1 MM MAIS INFERIEURE A 3 MM</v>
      </c>
      <c r="C1129">
        <v>19000</v>
      </c>
      <c r="D1129">
        <v>7220000</v>
      </c>
    </row>
    <row r="1130" spans="1:4" x14ac:dyDescent="0.25">
      <c r="A1130" t="str">
        <f>T("   720927")</f>
        <v xml:space="preserve">   720927</v>
      </c>
      <c r="B1130" t="str">
        <f>T("   D'UNE EPAISSEUR DE 0,5 MM OU PLUS MAIS N'EXCEDANT PAS 1 MM")</f>
        <v xml:space="preserve">   D'UNE EPAISSEUR DE 0,5 MM OU PLUS MAIS N'EXCEDANT PAS 1 MM</v>
      </c>
      <c r="C1130">
        <v>4000</v>
      </c>
      <c r="D1130">
        <v>1490841</v>
      </c>
    </row>
    <row r="1131" spans="1:4" x14ac:dyDescent="0.25">
      <c r="A1131" t="str">
        <f>T("   720990")</f>
        <v xml:space="preserve">   720990</v>
      </c>
      <c r="B1131" t="str">
        <f>T("   AUTRES")</f>
        <v xml:space="preserve">   AUTRES</v>
      </c>
      <c r="C1131">
        <v>1570</v>
      </c>
      <c r="D1131">
        <v>444500</v>
      </c>
    </row>
    <row r="1132" spans="1:4" x14ac:dyDescent="0.25">
      <c r="A1132" t="str">
        <f>T("   721391")</f>
        <v xml:space="preserve">   721391</v>
      </c>
      <c r="B1132" t="str">
        <f>T("   DE SECTION CIRCULAIRE D'UN DIAMETRE INFERIEUR A 14 MM")</f>
        <v xml:space="preserve">   DE SECTION CIRCULAIRE D'UN DIAMETRE INFERIEUR A 14 MM</v>
      </c>
      <c r="C1132">
        <v>5784500</v>
      </c>
      <c r="D1132">
        <v>1632587871</v>
      </c>
    </row>
    <row r="1133" spans="1:4" x14ac:dyDescent="0.25">
      <c r="A1133" t="str">
        <f>T("   721399")</f>
        <v xml:space="preserve">   721399</v>
      </c>
      <c r="B1133" t="str">
        <f>T("   AUTRES")</f>
        <v xml:space="preserve">   AUTRES</v>
      </c>
      <c r="C1133">
        <v>1871000</v>
      </c>
      <c r="D1133">
        <v>617310410</v>
      </c>
    </row>
    <row r="1134" spans="1:4" x14ac:dyDescent="0.25">
      <c r="A1134" t="str">
        <f>T("   721420")</f>
        <v xml:space="preserve">   721420</v>
      </c>
      <c r="B1134" t="str">
        <f>T("   COMPORTANT DES INDENTATIONS, BOURRELETS, CREUX OU RELIEFS OBTENUS AU COURS DU LAMINAG")</f>
        <v xml:space="preserve">   COMPORTANT DES INDENTATIONS, BOURRELETS, CREUX OU RELIEFS OBTENUS AU COURS DU LAMINAG</v>
      </c>
      <c r="C1134">
        <v>7836630</v>
      </c>
      <c r="D1134">
        <v>2180078159</v>
      </c>
    </row>
    <row r="1135" spans="1:4" x14ac:dyDescent="0.25">
      <c r="A1135" t="str">
        <f>T("   721590")</f>
        <v xml:space="preserve">   721590</v>
      </c>
      <c r="B1135" t="str">
        <f>T("   AUTRES")</f>
        <v xml:space="preserve">   AUTRES</v>
      </c>
      <c r="C1135">
        <v>2750000</v>
      </c>
      <c r="D1135">
        <v>620784816</v>
      </c>
    </row>
    <row r="1136" spans="1:4" x14ac:dyDescent="0.25">
      <c r="A1136" t="str">
        <f>T("   721633")</f>
        <v xml:space="preserve">   721633</v>
      </c>
      <c r="B1136" t="str">
        <f>T("   PROFILES EN H")</f>
        <v xml:space="preserve">   PROFILES EN H</v>
      </c>
      <c r="C1136">
        <v>44000</v>
      </c>
      <c r="D1136">
        <v>19403917</v>
      </c>
    </row>
    <row r="1137" spans="1:4" x14ac:dyDescent="0.25">
      <c r="A1137" t="str">
        <f>T("   721669")</f>
        <v xml:space="preserve">   721669</v>
      </c>
      <c r="B1137" t="str">
        <f>T("   AUTRES")</f>
        <v xml:space="preserve">   AUTRES</v>
      </c>
      <c r="C1137">
        <v>216000</v>
      </c>
      <c r="D1137">
        <v>86149233</v>
      </c>
    </row>
    <row r="1138" spans="1:4" x14ac:dyDescent="0.25">
      <c r="A1138" t="str">
        <f>T("   721990")</f>
        <v xml:space="preserve">   721990</v>
      </c>
      <c r="B1138" t="str">
        <f>T("   AUTRES")</f>
        <v xml:space="preserve">   AUTRES</v>
      </c>
      <c r="C1138">
        <v>73000</v>
      </c>
      <c r="D1138">
        <v>27534430</v>
      </c>
    </row>
    <row r="1139" spans="1:4" x14ac:dyDescent="0.25">
      <c r="A1139" t="str">
        <f>T("   731021")</f>
        <v xml:space="preserve">   731021</v>
      </c>
      <c r="B1139" t="str">
        <f>T("   BOITES A FERMER PAR SOUDAGE OU SERTISSAGE")</f>
        <v xml:space="preserve">   BOITES A FERMER PAR SOUDAGE OU SERTISSAGE</v>
      </c>
      <c r="C1139">
        <v>51202</v>
      </c>
      <c r="D1139">
        <v>20752974</v>
      </c>
    </row>
    <row r="1140" spans="1:4" x14ac:dyDescent="0.25">
      <c r="A1140" t="str">
        <f>T("   731700")</f>
        <v xml:space="preserve">   731700</v>
      </c>
      <c r="B1140" t="str">
        <f>T("   POINTES, CLOUS, PUNAISES, CRAMPONS APPOINTES, AGRAFES ONDULEES OU BISEAUTEES ET ARTICLE")</f>
        <v xml:space="preserve">   POINTES, CLOUS, PUNAISES, CRAMPONS APPOINTES, AGRAFES ONDULEES OU BISEAUTEES ET ARTICLE</v>
      </c>
      <c r="C1140">
        <v>337000</v>
      </c>
      <c r="D1140">
        <v>110900000</v>
      </c>
    </row>
    <row r="1141" spans="1:4" x14ac:dyDescent="0.25">
      <c r="A1141" t="str">
        <f>T("   761090")</f>
        <v xml:space="preserve">   761090</v>
      </c>
      <c r="B1141" t="str">
        <f>T("   AUTRES")</f>
        <v xml:space="preserve">   AUTRES</v>
      </c>
      <c r="C1141">
        <v>800</v>
      </c>
      <c r="D1141">
        <v>357000</v>
      </c>
    </row>
    <row r="1142" spans="1:4" x14ac:dyDescent="0.25">
      <c r="A1142" t="str">
        <f>T("   842230")</f>
        <v xml:space="preserve">   842230</v>
      </c>
      <c r="B1142" t="str">
        <f>T("   MACHINES ET APPAREILS A REMPLIR, FERMER, BOUCHER OU ETIQUETER LES BOUTEILLES, BOITES,")</f>
        <v xml:space="preserve">   MACHINES ET APPAREILS A REMPLIR, FERMER, BOUCHER OU ETIQUETER LES BOUTEILLES, BOITES,</v>
      </c>
      <c r="C1142">
        <v>16755</v>
      </c>
      <c r="D1142">
        <v>7000000</v>
      </c>
    </row>
    <row r="1143" spans="1:4" x14ac:dyDescent="0.25">
      <c r="A1143" t="str">
        <f>T("   842959")</f>
        <v xml:space="preserve">   842959</v>
      </c>
      <c r="B1143" t="str">
        <f>T("   AUTRES")</f>
        <v xml:space="preserve">   AUTRES</v>
      </c>
      <c r="C1143">
        <v>24495</v>
      </c>
      <c r="D1143">
        <v>22534200</v>
      </c>
    </row>
    <row r="1144" spans="1:4" x14ac:dyDescent="0.25">
      <c r="A1144" t="str">
        <f>T("   850780")</f>
        <v xml:space="preserve">   850780</v>
      </c>
      <c r="B1144" t="str">
        <f>T("   AUTRES ACCUMULATEURS")</f>
        <v xml:space="preserve">   AUTRES ACCUMULATEURS</v>
      </c>
      <c r="C1144">
        <v>2500</v>
      </c>
      <c r="D1144">
        <v>4915000</v>
      </c>
    </row>
    <row r="1145" spans="1:4" x14ac:dyDescent="0.25">
      <c r="A1145" t="str">
        <f>T("   853931")</f>
        <v xml:space="preserve">   853931</v>
      </c>
      <c r="B1145" t="str">
        <f>T("   FLUORESCENTS, A CATHODE CHAUDE")</f>
        <v xml:space="preserve">   FLUORESCENTS, A CATHODE CHAUDE</v>
      </c>
      <c r="C1145">
        <v>2139</v>
      </c>
      <c r="D1145">
        <v>1420565</v>
      </c>
    </row>
    <row r="1146" spans="1:4" x14ac:dyDescent="0.25">
      <c r="A1146" t="str">
        <f>T("   860290")</f>
        <v xml:space="preserve">   860290</v>
      </c>
      <c r="B1146" t="str">
        <f>T("   AUTRES")</f>
        <v xml:space="preserve">   AUTRES</v>
      </c>
      <c r="C1146">
        <v>80000</v>
      </c>
      <c r="D1146">
        <v>263111625</v>
      </c>
    </row>
    <row r="1147" spans="1:4" x14ac:dyDescent="0.25">
      <c r="A1147" t="str">
        <f>T("   860400")</f>
        <v xml:space="preserve">   860400</v>
      </c>
      <c r="B1147" t="str">
        <f>T("   VEHICULES POUR L'ENTRETIEN OU LE SERVICE DES VOIES FERREES OU SIMILAIRES, MEME AUTOPROP")</f>
        <v xml:space="preserve">   VEHICULES POUR L'ENTRETIEN OU LE SERVICE DES VOIES FERREES OU SIMILAIRES, MEME AUTOPROP</v>
      </c>
      <c r="C1147">
        <v>28000</v>
      </c>
      <c r="D1147">
        <v>77605316</v>
      </c>
    </row>
    <row r="1148" spans="1:4" x14ac:dyDescent="0.25">
      <c r="A1148" t="str">
        <f>T("   870323")</f>
        <v xml:space="preserve">   870323</v>
      </c>
      <c r="B1148" t="str">
        <f>T("   D’UNE CYLINDREE EXCEDANT 1.500 CM³ MAIS N’EXCEDANT PAS 3.000 CM³")</f>
        <v xml:space="preserve">   D’UNE CYLINDREE EXCEDANT 1.500 CM³ MAIS N’EXCEDANT PAS 3.000 CM³</v>
      </c>
      <c r="C1148">
        <v>2300</v>
      </c>
      <c r="D1148">
        <v>1200000</v>
      </c>
    </row>
    <row r="1149" spans="1:4" x14ac:dyDescent="0.25">
      <c r="A1149" t="str">
        <f>T("   870421")</f>
        <v xml:space="preserve">   870421</v>
      </c>
      <c r="B1149" t="str">
        <f>T("   D'UN POIDS EN CHARGE MAXIMAL N'EXCEDANT PAS 5 TONNES")</f>
        <v xml:space="preserve">   D'UN POIDS EN CHARGE MAXIMAL N'EXCEDANT PAS 5 TONNES</v>
      </c>
      <c r="C1149">
        <v>3290</v>
      </c>
      <c r="D1149">
        <v>5355782</v>
      </c>
    </row>
    <row r="1150" spans="1:4" x14ac:dyDescent="0.25">
      <c r="A1150" t="str">
        <f>T("   870422")</f>
        <v xml:space="preserve">   870422</v>
      </c>
      <c r="B1150" t="str">
        <f>T("   D'UN POIDS EN CHARGE MAXIMAL EXCEDANT 5 TONNES MAIS N'EXCEDANT PAS 20 TONNES")</f>
        <v xml:space="preserve">   D'UN POIDS EN CHARGE MAXIMAL EXCEDANT 5 TONNES MAIS N'EXCEDANT PAS 20 TONNES</v>
      </c>
      <c r="C1150">
        <v>6880</v>
      </c>
      <c r="D1150">
        <v>4835742</v>
      </c>
    </row>
    <row r="1151" spans="1:4" x14ac:dyDescent="0.25">
      <c r="A1151" t="str">
        <f>T("   870431")</f>
        <v xml:space="preserve">   870431</v>
      </c>
      <c r="B1151" t="str">
        <f>T("   D'UN POIDS EN CHARGE MAXIMAL N'EXCEDANT PAS 5 TONNES")</f>
        <v xml:space="preserve">   D'UN POIDS EN CHARGE MAXIMAL N'EXCEDANT PAS 5 TONNES</v>
      </c>
      <c r="C1151">
        <v>6840</v>
      </c>
      <c r="D1151">
        <v>15555149</v>
      </c>
    </row>
    <row r="1152" spans="1:4" x14ac:dyDescent="0.25">
      <c r="A1152" t="str">
        <f>T("   870540")</f>
        <v xml:space="preserve">   870540</v>
      </c>
      <c r="B1152" t="str">
        <f>T("   CAMIONSBETONNIERES")</f>
        <v xml:space="preserve">   CAMIONSBETONNIERES</v>
      </c>
      <c r="C1152">
        <v>88487</v>
      </c>
      <c r="D1152">
        <v>5000000</v>
      </c>
    </row>
    <row r="1153" spans="1:4" x14ac:dyDescent="0.25">
      <c r="A1153" t="str">
        <f>T("   940290")</f>
        <v xml:space="preserve">   940290</v>
      </c>
      <c r="B1153" t="str">
        <f>T("   AUTRES")</f>
        <v xml:space="preserve">   AUTRES</v>
      </c>
      <c r="C1153">
        <v>20000</v>
      </c>
      <c r="D1153">
        <v>6000000</v>
      </c>
    </row>
    <row r="1154" spans="1:4" x14ac:dyDescent="0.25">
      <c r="A1154" t="str">
        <f>T("   940360")</f>
        <v xml:space="preserve">   940360</v>
      </c>
      <c r="B1154" t="str">
        <f>T("   Autres meubles en bois")</f>
        <v xml:space="preserve">   Autres meubles en bois</v>
      </c>
      <c r="C1154">
        <v>1500</v>
      </c>
      <c r="D1154">
        <v>3000000</v>
      </c>
    </row>
    <row r="1155" spans="1:4" x14ac:dyDescent="0.25">
      <c r="A1155" t="str">
        <f>T("   940560")</f>
        <v xml:space="preserve">   940560</v>
      </c>
      <c r="B1155" t="str">
        <f>T("   LAMPESRECLAMES, ENSEIGNES LUMINEUSES, PLAQUES INDICATRICES LUMINEUSES ET ARTICLES SI")</f>
        <v xml:space="preserve">   LAMPESRECLAMES, ENSEIGNES LUMINEUSES, PLAQUES INDICATRICES LUMINEUSES ET ARTICLES SI</v>
      </c>
      <c r="C1155">
        <v>10</v>
      </c>
      <c r="D1155">
        <v>10000</v>
      </c>
    </row>
    <row r="1156" spans="1:4" x14ac:dyDescent="0.25">
      <c r="A1156" t="str">
        <f>T("   940591")</f>
        <v xml:space="preserve">   940591</v>
      </c>
      <c r="B1156" t="str">
        <f>T("   EN VERRE")</f>
        <v xml:space="preserve">   EN VERRE</v>
      </c>
      <c r="C1156">
        <v>3923</v>
      </c>
      <c r="D1156">
        <v>1688898</v>
      </c>
    </row>
    <row r="1157" spans="1:4" s="1" customFormat="1" x14ac:dyDescent="0.25">
      <c r="A1157" s="1" t="str">
        <f>T("   ZZ_Total_Produit_SH6")</f>
        <v xml:space="preserve">   ZZ_Total_Produit_SH6</v>
      </c>
      <c r="B1157" s="1" t="str">
        <f>T("   ZZ_Total_Produit_SH6")</f>
        <v xml:space="preserve">   ZZ_Total_Produit_SH6</v>
      </c>
      <c r="C1157" s="1">
        <v>262581943</v>
      </c>
      <c r="D1157" s="1">
        <v>26683055604</v>
      </c>
    </row>
    <row r="1158" spans="1:4" s="1" customFormat="1" x14ac:dyDescent="0.25">
      <c r="B1158" s="1" t="str">
        <f>T("Nigéria")</f>
        <v>Nigéria</v>
      </c>
    </row>
    <row r="1159" spans="1:4" x14ac:dyDescent="0.25">
      <c r="A1159" t="str">
        <f>T("   100630")</f>
        <v xml:space="preserve">   100630</v>
      </c>
      <c r="B1159" t="str">
        <f>T("   RIZ SEMIBLANCHI OU BLANCHI, MEME POLI OU GLACE")</f>
        <v xml:space="preserve">   RIZ SEMIBLANCHI OU BLANCHI, MEME POLI OU GLACE</v>
      </c>
      <c r="C1159">
        <v>5896000</v>
      </c>
      <c r="D1159">
        <v>589600000</v>
      </c>
    </row>
    <row r="1160" spans="1:4" x14ac:dyDescent="0.25">
      <c r="A1160" t="str">
        <f>T("   110311")</f>
        <v xml:space="preserve">   110311</v>
      </c>
      <c r="B1160" t="str">
        <f>T("   DE FROMENT (BLE)")</f>
        <v xml:space="preserve">   DE FROMENT (BLE)</v>
      </c>
      <c r="C1160">
        <v>95500</v>
      </c>
      <c r="D1160">
        <v>30379834</v>
      </c>
    </row>
    <row r="1161" spans="1:4" x14ac:dyDescent="0.25">
      <c r="A1161" t="str">
        <f>T("   110620")</f>
        <v xml:space="preserve">   110620</v>
      </c>
      <c r="B1161" t="str">
        <f>T("   DE SAGOU OU DES RACINES OU TUBERCULES DU N° 07.14")</f>
        <v xml:space="preserve">   DE SAGOU OU DES RACINES OU TUBERCULES DU N° 07.14</v>
      </c>
      <c r="C1161">
        <v>94850</v>
      </c>
      <c r="D1161">
        <v>25010000</v>
      </c>
    </row>
    <row r="1162" spans="1:4" x14ac:dyDescent="0.25">
      <c r="A1162" t="str">
        <f>T("   120720")</f>
        <v xml:space="preserve">   120720</v>
      </c>
      <c r="B1162" t="str">
        <f>T("   GRAINES DE COTON,MEME CONCASSEES")</f>
        <v xml:space="preserve">   GRAINES DE COTON,MEME CONCASSEES</v>
      </c>
      <c r="C1162">
        <v>40000</v>
      </c>
      <c r="D1162">
        <v>8000000</v>
      </c>
    </row>
    <row r="1163" spans="1:4" x14ac:dyDescent="0.25">
      <c r="A1163" t="str">
        <f>T("   121230")</f>
        <v xml:space="preserve">   121230</v>
      </c>
      <c r="B1163" t="str">
        <f>T("   NOYAUX,AMANDES D'ABRICOTS,PECHES,PRUNES,DESTINES A L'ALIMENTATION HUMAINE")</f>
        <v xml:space="preserve">   NOYAUX,AMANDES D'ABRICOTS,PECHES,PRUNES,DESTINES A L'ALIMENTATION HUMAINE</v>
      </c>
      <c r="C1163">
        <v>2504</v>
      </c>
      <c r="D1163">
        <v>236256034</v>
      </c>
    </row>
    <row r="1164" spans="1:4" x14ac:dyDescent="0.25">
      <c r="A1164" t="str">
        <f>T("   150790")</f>
        <v xml:space="preserve">   150790</v>
      </c>
      <c r="B1164" t="str">
        <f>T("   AUTRES")</f>
        <v xml:space="preserve">   AUTRES</v>
      </c>
      <c r="C1164">
        <v>120920</v>
      </c>
      <c r="D1164">
        <v>54504000</v>
      </c>
    </row>
    <row r="1165" spans="1:4" x14ac:dyDescent="0.25">
      <c r="A1165" t="str">
        <f>T("   151190")</f>
        <v xml:space="preserve">   151190</v>
      </c>
      <c r="B1165" t="str">
        <f>T("   AUTRES")</f>
        <v xml:space="preserve">   AUTRES</v>
      </c>
      <c r="C1165">
        <v>62000</v>
      </c>
      <c r="D1165">
        <v>37730000</v>
      </c>
    </row>
    <row r="1166" spans="1:4" x14ac:dyDescent="0.25">
      <c r="A1166" t="str">
        <f>T("   151229")</f>
        <v xml:space="preserve">   151229</v>
      </c>
      <c r="B1166" t="str">
        <f>T("   AUTRES")</f>
        <v xml:space="preserve">   AUTRES</v>
      </c>
      <c r="C1166">
        <v>4737160</v>
      </c>
      <c r="D1166">
        <v>2752431100</v>
      </c>
    </row>
    <row r="1167" spans="1:4" x14ac:dyDescent="0.25">
      <c r="A1167" t="str">
        <f>T("   151620")</f>
        <v xml:space="preserve">   151620</v>
      </c>
      <c r="B1167" t="str">
        <f>T("   GRAISSES ET HUILES VEGETALES ET LEURS FRACTIONS")</f>
        <v xml:space="preserve">   GRAISSES ET HUILES VEGETALES ET LEURS FRACTIONS</v>
      </c>
      <c r="C1167">
        <v>526840</v>
      </c>
      <c r="D1167">
        <v>280032200</v>
      </c>
    </row>
    <row r="1168" spans="1:4" x14ac:dyDescent="0.25">
      <c r="A1168" t="str">
        <f>T("   151710")</f>
        <v xml:space="preserve">   151710</v>
      </c>
      <c r="B1168" t="str">
        <f>T("   Margarine, a l'exclusion de la margarine liquide")</f>
        <v xml:space="preserve">   Margarine, a l'exclusion de la margarine liquide</v>
      </c>
      <c r="C1168">
        <v>15960</v>
      </c>
      <c r="D1168">
        <v>7410000</v>
      </c>
    </row>
    <row r="1169" spans="1:4" x14ac:dyDescent="0.25">
      <c r="A1169" t="str">
        <f>T("   190230")</f>
        <v xml:space="preserve">   190230</v>
      </c>
      <c r="B1169" t="str">
        <f>T("   AUTRES PATES ALIMENTAIRES")</f>
        <v xml:space="preserve">   AUTRES PATES ALIMENTAIRES</v>
      </c>
      <c r="C1169">
        <v>80000</v>
      </c>
      <c r="D1169">
        <v>36100000</v>
      </c>
    </row>
    <row r="1170" spans="1:4" x14ac:dyDescent="0.25">
      <c r="A1170" t="str">
        <f>T("   230660")</f>
        <v xml:space="preserve">   230660</v>
      </c>
      <c r="B1170" t="str">
        <f>T("   DE NOIX OU D'AMANDES DE PALMISTE")</f>
        <v xml:space="preserve">   DE NOIX OU D'AMANDES DE PALMISTE</v>
      </c>
      <c r="C1170">
        <v>16980</v>
      </c>
      <c r="D1170">
        <v>3412980</v>
      </c>
    </row>
    <row r="1171" spans="1:4" x14ac:dyDescent="0.25">
      <c r="A1171" t="str">
        <f>T("   320890")</f>
        <v xml:space="preserve">   320890</v>
      </c>
      <c r="B1171" t="str">
        <f>T("   AUTRES")</f>
        <v xml:space="preserve">   AUTRES</v>
      </c>
      <c r="C1171">
        <v>19355.2</v>
      </c>
      <c r="D1171">
        <v>26674934</v>
      </c>
    </row>
    <row r="1172" spans="1:4" x14ac:dyDescent="0.25">
      <c r="A1172" t="str">
        <f>T("   350510")</f>
        <v xml:space="preserve">   350510</v>
      </c>
      <c r="B1172" t="str">
        <f>T("   Dextrine et autres amidons et fecules modifies")</f>
        <v xml:space="preserve">   Dextrine et autres amidons et fecules modifies</v>
      </c>
      <c r="C1172">
        <v>3041</v>
      </c>
      <c r="D1172">
        <v>2273274</v>
      </c>
    </row>
    <row r="1173" spans="1:4" x14ac:dyDescent="0.25">
      <c r="A1173" t="str">
        <f>T("   381600")</f>
        <v xml:space="preserve">   381600</v>
      </c>
      <c r="B1173" t="str">
        <f>T("   CIMENTS, MORTIERS, BETONS ET COMPOSITIONS SIMILAIRES REFRACTAIRES, AUTRES QUE LES PRODU")</f>
        <v xml:space="preserve">   CIMENTS, MORTIERS, BETONS ET COMPOSITIONS SIMILAIRES REFRACTAIRES, AUTRES QUE LES PRODU</v>
      </c>
      <c r="C1173">
        <v>1200000</v>
      </c>
      <c r="D1173">
        <v>87169880</v>
      </c>
    </row>
    <row r="1174" spans="1:4" x14ac:dyDescent="0.25">
      <c r="A1174" t="str">
        <f>T("   391721")</f>
        <v xml:space="preserve">   391721</v>
      </c>
      <c r="B1174" t="str">
        <f>T("   EN POLYMERES DE L'ETHYLENE")</f>
        <v xml:space="preserve">   EN POLYMERES DE L'ETHYLENE</v>
      </c>
      <c r="C1174">
        <v>29400</v>
      </c>
      <c r="D1174">
        <v>55344500</v>
      </c>
    </row>
    <row r="1175" spans="1:4" x14ac:dyDescent="0.25">
      <c r="A1175" t="str">
        <f>T("   392020")</f>
        <v xml:space="preserve">   392020</v>
      </c>
      <c r="B1175" t="str">
        <f>T("   EN POLYMERES DU PROPYLENE")</f>
        <v xml:space="preserve">   EN POLYMERES DU PROPYLENE</v>
      </c>
      <c r="C1175">
        <v>550</v>
      </c>
      <c r="D1175">
        <v>1040978</v>
      </c>
    </row>
    <row r="1176" spans="1:4" x14ac:dyDescent="0.25">
      <c r="A1176" t="str">
        <f>T("   392329")</f>
        <v xml:space="preserve">   392329</v>
      </c>
      <c r="B1176" t="str">
        <f>T("   EN AUTRES MATIERES PLASTIQUES")</f>
        <v xml:space="preserve">   EN AUTRES MATIERES PLASTIQUES</v>
      </c>
      <c r="C1176">
        <v>300</v>
      </c>
      <c r="D1176">
        <v>519662</v>
      </c>
    </row>
    <row r="1177" spans="1:4" x14ac:dyDescent="0.25">
      <c r="A1177" t="str">
        <f>T("   481960")</f>
        <v xml:space="preserve">   481960</v>
      </c>
      <c r="B1177" t="str">
        <f>T("   CARTONNAGES DE BUREAU, DE MAGASIN OU SIMILAIRES")</f>
        <v xml:space="preserve">   CARTONNAGES DE BUREAU, DE MAGASIN OU SIMILAIRES</v>
      </c>
      <c r="C1177">
        <v>2784</v>
      </c>
      <c r="D1177">
        <v>1979852</v>
      </c>
    </row>
    <row r="1178" spans="1:4" x14ac:dyDescent="0.25">
      <c r="A1178" t="str">
        <f>T("   482010")</f>
        <v xml:space="preserve">   482010</v>
      </c>
      <c r="B1178" t="str">
        <f>T("   REGISTRES, LIVRES COMPTABLES, CARNETS (DE NOTES, DE COMMANDES, DE QUITTANCES), BLOCS")</f>
        <v xml:space="preserve">   REGISTRES, LIVRES COMPTABLES, CARNETS (DE NOTES, DE COMMANDES, DE QUITTANCES), BLOCS</v>
      </c>
      <c r="C1178">
        <v>3000</v>
      </c>
      <c r="D1178">
        <v>2777400</v>
      </c>
    </row>
    <row r="1179" spans="1:4" x14ac:dyDescent="0.25">
      <c r="A1179" t="str">
        <f>T("   491199")</f>
        <v xml:space="preserve">   491199</v>
      </c>
      <c r="B1179" t="str">
        <f>T("   AUTRES")</f>
        <v xml:space="preserve">   AUTRES</v>
      </c>
      <c r="C1179">
        <v>24200</v>
      </c>
      <c r="D1179">
        <v>60112194</v>
      </c>
    </row>
    <row r="1180" spans="1:4" x14ac:dyDescent="0.25">
      <c r="A1180" t="str">
        <f>T("   520812")</f>
        <v xml:space="preserve">   520812</v>
      </c>
      <c r="B1180" t="str">
        <f>T("   A ARMURE TOILE, D'UN POIDS EXCEDANT 100 G/M²")</f>
        <v xml:space="preserve">   A ARMURE TOILE, D'UN POIDS EXCEDANT 100 G/M²</v>
      </c>
      <c r="C1180">
        <v>71508</v>
      </c>
      <c r="D1180">
        <v>166965120</v>
      </c>
    </row>
    <row r="1181" spans="1:4" x14ac:dyDescent="0.25">
      <c r="A1181" t="str">
        <f>T("   520821")</f>
        <v xml:space="preserve">   520821</v>
      </c>
      <c r="B1181" t="str">
        <f>T("   A ARMURE TOILE, D'UN POIDS N'EXCEDANT PAS 100 G/M²")</f>
        <v xml:space="preserve">   A ARMURE TOILE, D'UN POIDS N'EXCEDANT PAS 100 G/M²</v>
      </c>
      <c r="C1181">
        <v>37800</v>
      </c>
      <c r="D1181">
        <v>22000000</v>
      </c>
    </row>
    <row r="1182" spans="1:4" x14ac:dyDescent="0.25">
      <c r="A1182" t="str">
        <f>T("   620590")</f>
        <v xml:space="preserve">   620590</v>
      </c>
      <c r="B1182" t="str">
        <f>T("   D'AUTRES MATIERES TEXTILES")</f>
        <v xml:space="preserve">   D'AUTRES MATIERES TEXTILES</v>
      </c>
      <c r="C1182">
        <v>1000</v>
      </c>
      <c r="D1182">
        <v>700000</v>
      </c>
    </row>
    <row r="1183" spans="1:4" x14ac:dyDescent="0.25">
      <c r="A1183" t="str">
        <f>T("   720836")</f>
        <v xml:space="preserve">   720836</v>
      </c>
      <c r="B1183" t="str">
        <f>T("   D'UNE EPAISSEUR EXCEDANT 10 MM")</f>
        <v xml:space="preserve">   D'UNE EPAISSEUR EXCEDANT 10 MM</v>
      </c>
      <c r="C1183">
        <v>110000</v>
      </c>
      <c r="D1183">
        <v>38272240</v>
      </c>
    </row>
    <row r="1184" spans="1:4" x14ac:dyDescent="0.25">
      <c r="A1184" t="str">
        <f>T("   720853")</f>
        <v xml:space="preserve">   720853</v>
      </c>
      <c r="B1184" t="str">
        <f>T("   D'UNE EPAISSEUR DE 3 MM OU PLUS MAIS INFERIEURE A 4,75 MM")</f>
        <v xml:space="preserve">   D'UNE EPAISSEUR DE 3 MM OU PLUS MAIS INFERIEURE A 4,75 MM</v>
      </c>
      <c r="C1184">
        <v>105000</v>
      </c>
      <c r="D1184">
        <v>41868460</v>
      </c>
    </row>
    <row r="1185" spans="1:4" x14ac:dyDescent="0.25">
      <c r="A1185" t="str">
        <f>T("   721669")</f>
        <v xml:space="preserve">   721669</v>
      </c>
      <c r="B1185" t="str">
        <f>T("   AUTRES")</f>
        <v xml:space="preserve">   AUTRES</v>
      </c>
      <c r="C1185">
        <v>215000</v>
      </c>
      <c r="D1185">
        <v>97624706</v>
      </c>
    </row>
    <row r="1186" spans="1:4" x14ac:dyDescent="0.25">
      <c r="A1186" t="str">
        <f>T("   730820")</f>
        <v xml:space="preserve">   730820</v>
      </c>
      <c r="B1186" t="str">
        <f>T("   TOURS ET PYLONES")</f>
        <v xml:space="preserve">   TOURS ET PYLONES</v>
      </c>
      <c r="C1186">
        <v>194250</v>
      </c>
      <c r="D1186">
        <v>141423498</v>
      </c>
    </row>
    <row r="1187" spans="1:4" x14ac:dyDescent="0.25">
      <c r="A1187" t="str">
        <f>T("   732394")</f>
        <v xml:space="preserve">   732394</v>
      </c>
      <c r="B1187" t="str">
        <f>T("   EN FER OU EN ACIER, EMAILLES")</f>
        <v xml:space="preserve">   EN FER OU EN ACIER, EMAILLES</v>
      </c>
      <c r="C1187">
        <v>500</v>
      </c>
      <c r="D1187">
        <v>300000</v>
      </c>
    </row>
    <row r="1188" spans="1:4" x14ac:dyDescent="0.25">
      <c r="A1188" t="str">
        <f>T("   732690")</f>
        <v xml:space="preserve">   732690</v>
      </c>
      <c r="B1188" t="str">
        <f>T("   AUTRES")</f>
        <v xml:space="preserve">   AUTRES</v>
      </c>
      <c r="C1188">
        <v>3257</v>
      </c>
      <c r="D1188">
        <v>45272961</v>
      </c>
    </row>
    <row r="1189" spans="1:4" x14ac:dyDescent="0.25">
      <c r="A1189" t="str">
        <f>T("   841229")</f>
        <v xml:space="preserve">   841229</v>
      </c>
      <c r="B1189" t="str">
        <f>T("   AUTRES")</f>
        <v xml:space="preserve">   AUTRES</v>
      </c>
      <c r="C1189">
        <v>3181</v>
      </c>
      <c r="D1189">
        <v>8962128</v>
      </c>
    </row>
    <row r="1190" spans="1:4" x14ac:dyDescent="0.25">
      <c r="A1190" t="str">
        <f>T("   841490")</f>
        <v xml:space="preserve">   841490</v>
      </c>
      <c r="B1190" t="str">
        <f>T("   PARTIES")</f>
        <v xml:space="preserve">   PARTIES</v>
      </c>
      <c r="C1190">
        <v>34902</v>
      </c>
      <c r="D1190">
        <v>26388488</v>
      </c>
    </row>
    <row r="1191" spans="1:4" x14ac:dyDescent="0.25">
      <c r="A1191" t="str">
        <f>T("   842121")</f>
        <v xml:space="preserve">   842121</v>
      </c>
      <c r="B1191" t="str">
        <f>T("   POUR LA FILTRATION OU L'EPURATION DES EAUX")</f>
        <v xml:space="preserve">   POUR LA FILTRATION OU L'EPURATION DES EAUX</v>
      </c>
      <c r="C1191">
        <v>5000</v>
      </c>
      <c r="D1191">
        <v>11650766</v>
      </c>
    </row>
    <row r="1192" spans="1:4" x14ac:dyDescent="0.25">
      <c r="A1192" t="str">
        <f>T("   842620")</f>
        <v xml:space="preserve">   842620</v>
      </c>
      <c r="B1192" t="str">
        <f>T("   Grues a tour")</f>
        <v xml:space="preserve">   Grues a tour</v>
      </c>
      <c r="C1192">
        <v>575630</v>
      </c>
      <c r="D1192">
        <v>232860778</v>
      </c>
    </row>
    <row r="1193" spans="1:4" x14ac:dyDescent="0.25">
      <c r="A1193" t="str">
        <f>T("   842649")</f>
        <v xml:space="preserve">   842649</v>
      </c>
      <c r="B1193" t="str">
        <f>T("   AUTRES")</f>
        <v xml:space="preserve">   AUTRES</v>
      </c>
      <c r="C1193">
        <v>29400</v>
      </c>
      <c r="D1193">
        <v>52140387</v>
      </c>
    </row>
    <row r="1194" spans="1:4" x14ac:dyDescent="0.25">
      <c r="A1194" t="str">
        <f>T("   842959")</f>
        <v xml:space="preserve">   842959</v>
      </c>
      <c r="B1194" t="str">
        <f>T("   AUTRES")</f>
        <v xml:space="preserve">   AUTRES</v>
      </c>
      <c r="C1194">
        <v>40242</v>
      </c>
      <c r="D1194">
        <v>8226152</v>
      </c>
    </row>
    <row r="1195" spans="1:4" x14ac:dyDescent="0.25">
      <c r="A1195" t="str">
        <f>T("   843049")</f>
        <v xml:space="preserve">   843049</v>
      </c>
      <c r="B1195" t="str">
        <f>T("   AUTRES")</f>
        <v xml:space="preserve">   AUTRES</v>
      </c>
      <c r="C1195">
        <v>18417</v>
      </c>
      <c r="D1195">
        <v>190509717</v>
      </c>
    </row>
    <row r="1196" spans="1:4" x14ac:dyDescent="0.25">
      <c r="A1196" t="str">
        <f>T("   843143")</f>
        <v xml:space="preserve">   843143</v>
      </c>
      <c r="B1196" t="str">
        <f>T("   PARTIES DE MACHINES DE SONDAGE OU DE FORAGE DES N°S 8430.41 OU 8430.49")</f>
        <v xml:space="preserve">   PARTIES DE MACHINES DE SONDAGE OU DE FORAGE DES N°S 8430.41 OU 8430.49</v>
      </c>
      <c r="C1196">
        <v>12596</v>
      </c>
      <c r="D1196">
        <v>56964784</v>
      </c>
    </row>
    <row r="1197" spans="1:4" x14ac:dyDescent="0.25">
      <c r="A1197" t="str">
        <f>T("   850239")</f>
        <v xml:space="preserve">   850239</v>
      </c>
      <c r="B1197" t="str">
        <f>T("   AUTRES")</f>
        <v xml:space="preserve">   AUTRES</v>
      </c>
      <c r="C1197">
        <v>10300</v>
      </c>
      <c r="D1197">
        <v>27959160</v>
      </c>
    </row>
    <row r="1198" spans="1:4" x14ac:dyDescent="0.25">
      <c r="A1198" t="str">
        <f>T("   851769")</f>
        <v xml:space="preserve">   851769</v>
      </c>
      <c r="B1198" t="str">
        <f>T("   AUTRES")</f>
        <v xml:space="preserve">   AUTRES</v>
      </c>
      <c r="C1198">
        <v>484</v>
      </c>
      <c r="D1198">
        <v>33473701</v>
      </c>
    </row>
    <row r="1199" spans="1:4" x14ac:dyDescent="0.25">
      <c r="A1199" t="str">
        <f>T("   852560")</f>
        <v xml:space="preserve">   852560</v>
      </c>
      <c r="B1199" t="str">
        <f>T("   APPAREILS D'EMISSION INCORPORANT UN APPAREIL DE RECEPTION")</f>
        <v xml:space="preserve">   APPAREILS D'EMISSION INCORPORANT UN APPAREIL DE RECEPTION</v>
      </c>
      <c r="C1199">
        <v>1036</v>
      </c>
      <c r="D1199">
        <v>19841843</v>
      </c>
    </row>
    <row r="1200" spans="1:4" x14ac:dyDescent="0.25">
      <c r="A1200" t="str">
        <f>T("   852812")</f>
        <v xml:space="preserve">   852812</v>
      </c>
      <c r="B1200" t="str">
        <f>T("   APPAREILS RECEPTEURS DE TELEVISION EN COULEUR")</f>
        <v xml:space="preserve">   APPAREILS RECEPTEURS DE TELEVISION EN COULEUR</v>
      </c>
      <c r="C1200">
        <v>5370</v>
      </c>
      <c r="D1200">
        <v>6080000</v>
      </c>
    </row>
    <row r="1201" spans="1:4" x14ac:dyDescent="0.25">
      <c r="A1201" t="str">
        <f>T("   852990")</f>
        <v xml:space="preserve">   852990</v>
      </c>
      <c r="B1201" t="str">
        <f>T("   AUTRES")</f>
        <v xml:space="preserve">   AUTRES</v>
      </c>
      <c r="C1201">
        <v>72</v>
      </c>
      <c r="D1201">
        <v>5111247</v>
      </c>
    </row>
    <row r="1202" spans="1:4" x14ac:dyDescent="0.25">
      <c r="A1202" t="str">
        <f>T("   854231")</f>
        <v xml:space="preserve">   854231</v>
      </c>
      <c r="B1202" t="str">
        <f>T("   PROCESSEURS ET CONTROLEURS, MEME COMBINES AVEC DES MEMOIRES, DES CONVERTISSEURS, DES")</f>
        <v xml:space="preserve">   PROCESSEURS ET CONTROLEURS, MEME COMBINES AVEC DES MEMOIRES, DES CONVERTISSEURS, DES</v>
      </c>
      <c r="C1202">
        <v>250</v>
      </c>
      <c r="D1202">
        <v>124474</v>
      </c>
    </row>
    <row r="1203" spans="1:4" x14ac:dyDescent="0.25">
      <c r="A1203" t="str">
        <f>T("   860900")</f>
        <v xml:space="preserve">   860900</v>
      </c>
      <c r="B1203" t="str">
        <f>T("   CADRES ET CONTENEURS (Y COMPRIS LES CONTENEURSCITERNES ET LES CONTENEURSRESERVOIRS) S")</f>
        <v xml:space="preserve">   CADRES ET CONTENEURS (Y COMPRIS LES CONTENEURSCITERNES ET LES CONTENEURSRESERVOIRS) S</v>
      </c>
      <c r="C1203">
        <v>35600</v>
      </c>
      <c r="D1203">
        <v>33723492</v>
      </c>
    </row>
    <row r="1204" spans="1:4" x14ac:dyDescent="0.25">
      <c r="A1204" t="str">
        <f>T("   870130")</f>
        <v xml:space="preserve">   870130</v>
      </c>
      <c r="B1204" t="str">
        <f>T("   TRACTEURS A CHENILLES")</f>
        <v xml:space="preserve">   TRACTEURS A CHENILLES</v>
      </c>
      <c r="C1204">
        <v>13299</v>
      </c>
      <c r="D1204">
        <v>73502812</v>
      </c>
    </row>
    <row r="1205" spans="1:4" x14ac:dyDescent="0.25">
      <c r="A1205" t="str">
        <f>T("   870323")</f>
        <v xml:space="preserve">   870323</v>
      </c>
      <c r="B1205" t="str">
        <f>T("   D’UNE CYLINDREE EXCEDANT 1.500 CM³ MAIS N’EXCEDANT PAS 3.000 CM³")</f>
        <v xml:space="preserve">   D’UNE CYLINDREE EXCEDANT 1.500 CM³ MAIS N’EXCEDANT PAS 3.000 CM³</v>
      </c>
      <c r="C1205">
        <v>1735</v>
      </c>
      <c r="D1205">
        <v>1000000</v>
      </c>
    </row>
    <row r="1206" spans="1:4" x14ac:dyDescent="0.25">
      <c r="A1206" t="str">
        <f>T("   870510")</f>
        <v xml:space="preserve">   870510</v>
      </c>
      <c r="B1206" t="str">
        <f>T("   CAMIONSGRUES")</f>
        <v xml:space="preserve">   CAMIONSGRUES</v>
      </c>
      <c r="C1206">
        <v>268260</v>
      </c>
      <c r="D1206">
        <v>88293556</v>
      </c>
    </row>
    <row r="1207" spans="1:4" x14ac:dyDescent="0.25">
      <c r="A1207" t="str">
        <f>T("   870540")</f>
        <v xml:space="preserve">   870540</v>
      </c>
      <c r="B1207" t="str">
        <f>T("   CAMIONSBETONNIERES")</f>
        <v xml:space="preserve">   CAMIONSBETONNIERES</v>
      </c>
      <c r="C1207">
        <v>30000</v>
      </c>
      <c r="D1207">
        <v>30872101</v>
      </c>
    </row>
    <row r="1208" spans="1:4" x14ac:dyDescent="0.25">
      <c r="A1208" t="str">
        <f>T("   901580")</f>
        <v xml:space="preserve">   901580</v>
      </c>
      <c r="B1208" t="str">
        <f>T("   AUTRES INSTRUMENTS ET APPAREILS")</f>
        <v xml:space="preserve">   AUTRES INSTRUMENTS ET APPAREILS</v>
      </c>
      <c r="C1208">
        <v>202</v>
      </c>
      <c r="D1208">
        <v>18586159</v>
      </c>
    </row>
    <row r="1209" spans="1:4" x14ac:dyDescent="0.25">
      <c r="A1209" t="str">
        <f>T("   940350")</f>
        <v xml:space="preserve">   940350</v>
      </c>
      <c r="B1209" t="str">
        <f>T("   MEUBLES EN BOIS DES TYPES UTILISES DANS LES CHAMBRES A COUCHER")</f>
        <v xml:space="preserve">   MEUBLES EN BOIS DES TYPES UTILISES DANS LES CHAMBRES A COUCHER</v>
      </c>
      <c r="C1209">
        <v>2500</v>
      </c>
      <c r="D1209">
        <v>1500000</v>
      </c>
    </row>
    <row r="1210" spans="1:4" s="1" customFormat="1" x14ac:dyDescent="0.25">
      <c r="A1210" s="1" t="str">
        <f>T("   ZZ_Total_Produit_SH6")</f>
        <v xml:space="preserve">   ZZ_Total_Produit_SH6</v>
      </c>
      <c r="B1210" s="1" t="str">
        <f>T("   ZZ_Total_Produit_SH6")</f>
        <v xml:space="preserve">   ZZ_Total_Produit_SH6</v>
      </c>
      <c r="C1210" s="1">
        <v>14798135.199999999</v>
      </c>
      <c r="D1210" s="1">
        <v>5780957552</v>
      </c>
    </row>
    <row r="1211" spans="1:4" s="1" customFormat="1" x14ac:dyDescent="0.25">
      <c r="B1211" s="1" t="str">
        <f>T("Pays-bas")</f>
        <v>Pays-bas</v>
      </c>
    </row>
    <row r="1212" spans="1:4" x14ac:dyDescent="0.25">
      <c r="A1212" t="str">
        <f>T("   040510")</f>
        <v xml:space="preserve">   040510</v>
      </c>
      <c r="B1212" t="str">
        <f>T("   BEURRE")</f>
        <v xml:space="preserve">   BEURRE</v>
      </c>
      <c r="C1212">
        <v>260298</v>
      </c>
      <c r="D1212">
        <v>176517017</v>
      </c>
    </row>
    <row r="1213" spans="1:4" x14ac:dyDescent="0.25">
      <c r="A1213" t="str">
        <f>T("   080131")</f>
        <v xml:space="preserve">   080131</v>
      </c>
      <c r="B1213" t="str">
        <f>T("   EN COQUES")</f>
        <v xml:space="preserve">   EN COQUES</v>
      </c>
      <c r="C1213">
        <v>34760</v>
      </c>
      <c r="D1213">
        <v>14676711</v>
      </c>
    </row>
    <row r="1214" spans="1:4" x14ac:dyDescent="0.25">
      <c r="A1214" t="str">
        <f>T("   080132")</f>
        <v xml:space="preserve">   080132</v>
      </c>
      <c r="B1214" t="str">
        <f>T("   SANS COQUES")</f>
        <v xml:space="preserve">   SANS COQUES</v>
      </c>
      <c r="C1214">
        <v>17237</v>
      </c>
      <c r="D1214">
        <v>44422923</v>
      </c>
    </row>
    <row r="1215" spans="1:4" x14ac:dyDescent="0.25">
      <c r="A1215" t="str">
        <f>T("   080211")</f>
        <v xml:space="preserve">   080211</v>
      </c>
      <c r="B1215" t="str">
        <f>T("   EN COQUES")</f>
        <v xml:space="preserve">   EN COQUES</v>
      </c>
      <c r="C1215">
        <v>101054</v>
      </c>
      <c r="D1215">
        <v>275711115</v>
      </c>
    </row>
    <row r="1216" spans="1:4" x14ac:dyDescent="0.25">
      <c r="A1216" t="str">
        <f>T("   080212")</f>
        <v xml:space="preserve">   080212</v>
      </c>
      <c r="B1216" t="str">
        <f>T("   SANS COQUES")</f>
        <v xml:space="preserve">   SANS COQUES</v>
      </c>
      <c r="C1216">
        <v>167815</v>
      </c>
      <c r="D1216">
        <v>454700301</v>
      </c>
    </row>
    <row r="1217" spans="1:4" x14ac:dyDescent="0.25">
      <c r="A1217" t="str">
        <f>T("   120799")</f>
        <v xml:space="preserve">   120799</v>
      </c>
      <c r="B1217" t="str">
        <f>T("   AUTRES")</f>
        <v xml:space="preserve">   AUTRES</v>
      </c>
      <c r="C1217">
        <v>67590</v>
      </c>
      <c r="D1217">
        <v>14261672</v>
      </c>
    </row>
    <row r="1218" spans="1:4" x14ac:dyDescent="0.25">
      <c r="A1218" t="str">
        <f>T("   253090")</f>
        <v xml:space="preserve">   253090</v>
      </c>
      <c r="B1218" t="str">
        <f>T("   AUTRES")</f>
        <v xml:space="preserve">   AUTRES</v>
      </c>
      <c r="C1218">
        <v>310</v>
      </c>
      <c r="D1218">
        <v>149370</v>
      </c>
    </row>
    <row r="1219" spans="1:4" x14ac:dyDescent="0.25">
      <c r="A1219" t="str">
        <f>T("   271019")</f>
        <v xml:space="preserve">   271019</v>
      </c>
      <c r="B1219" t="str">
        <f>T("   AUTRES")</f>
        <v xml:space="preserve">   AUTRES</v>
      </c>
      <c r="C1219">
        <v>6064</v>
      </c>
      <c r="D1219">
        <v>43155633</v>
      </c>
    </row>
    <row r="1220" spans="1:4" x14ac:dyDescent="0.25">
      <c r="A1220" t="str">
        <f>T("   340220")</f>
        <v xml:space="preserve">   340220</v>
      </c>
      <c r="B1220" t="str">
        <f>T("   PREPARATIONS CONDITIONNEES POUR LA VENTE AU DETAIL")</f>
        <v xml:space="preserve">   PREPARATIONS CONDITIONNEES POUR LA VENTE AU DETAIL</v>
      </c>
      <c r="C1220">
        <v>5796</v>
      </c>
      <c r="D1220">
        <v>41248692</v>
      </c>
    </row>
    <row r="1221" spans="1:4" x14ac:dyDescent="0.25">
      <c r="A1221" t="str">
        <f>T("   392321")</f>
        <v xml:space="preserve">   392321</v>
      </c>
      <c r="B1221" t="str">
        <f>T("   EN POLYMERES DE L'ETHYLENE")</f>
        <v xml:space="preserve">   EN POLYMERES DE L'ETHYLENE</v>
      </c>
      <c r="C1221">
        <v>300</v>
      </c>
      <c r="D1221">
        <v>5005850</v>
      </c>
    </row>
    <row r="1222" spans="1:4" x14ac:dyDescent="0.25">
      <c r="A1222" t="str">
        <f>T("   392390")</f>
        <v xml:space="preserve">   392390</v>
      </c>
      <c r="B1222" t="str">
        <f>T("   AUTRES")</f>
        <v xml:space="preserve">   AUTRES</v>
      </c>
      <c r="C1222">
        <v>2996</v>
      </c>
      <c r="D1222">
        <v>6856300</v>
      </c>
    </row>
    <row r="1223" spans="1:4" x14ac:dyDescent="0.25">
      <c r="A1223" t="str">
        <f>T("   392690")</f>
        <v xml:space="preserve">   392690</v>
      </c>
      <c r="B1223" t="str">
        <f>T("   AUTRES")</f>
        <v xml:space="preserve">   AUTRES</v>
      </c>
      <c r="C1223">
        <v>5261</v>
      </c>
      <c r="D1223">
        <v>36910361</v>
      </c>
    </row>
    <row r="1224" spans="1:4" x14ac:dyDescent="0.25">
      <c r="A1224" t="str">
        <f>T("   481920")</f>
        <v xml:space="preserve">   481920</v>
      </c>
      <c r="B1224" t="str">
        <f>T("   BOITES ET CARTONNAGES, PLIANTS, EN PAPIER OU CARTON NON ONDULE")</f>
        <v xml:space="preserve">   BOITES ET CARTONNAGES, PLIANTS, EN PAPIER OU CARTON NON ONDULE</v>
      </c>
      <c r="C1224">
        <v>21242</v>
      </c>
      <c r="D1224">
        <v>21635206</v>
      </c>
    </row>
    <row r="1225" spans="1:4" x14ac:dyDescent="0.25">
      <c r="A1225" t="str">
        <f>T("   520299")</f>
        <v xml:space="preserve">   520299</v>
      </c>
      <c r="B1225" t="str">
        <f>T("   AUTRES")</f>
        <v xml:space="preserve">   AUTRES</v>
      </c>
      <c r="C1225">
        <v>120000</v>
      </c>
      <c r="D1225">
        <v>2500000</v>
      </c>
    </row>
    <row r="1226" spans="1:4" x14ac:dyDescent="0.25">
      <c r="A1226" t="str">
        <f>T("   620342")</f>
        <v xml:space="preserve">   620342</v>
      </c>
      <c r="B1226" t="str">
        <f>T("   DE COTON")</f>
        <v xml:space="preserve">   DE COTON</v>
      </c>
      <c r="C1226">
        <v>3889</v>
      </c>
      <c r="D1226">
        <v>27677043</v>
      </c>
    </row>
    <row r="1227" spans="1:4" x14ac:dyDescent="0.25">
      <c r="A1227" t="str">
        <f>T("   620590")</f>
        <v xml:space="preserve">   620590</v>
      </c>
      <c r="B1227" t="str">
        <f>T("   D'AUTRES MATIERES TEXTILES")</f>
        <v xml:space="preserve">   D'AUTRES MATIERES TEXTILES</v>
      </c>
      <c r="C1227">
        <v>500</v>
      </c>
      <c r="D1227">
        <v>700000</v>
      </c>
    </row>
    <row r="1228" spans="1:4" x14ac:dyDescent="0.25">
      <c r="A1228" t="str">
        <f>T("   640590")</f>
        <v xml:space="preserve">   640590</v>
      </c>
      <c r="B1228" t="str">
        <f>T("   AUTRES")</f>
        <v xml:space="preserve">   AUTRES</v>
      </c>
      <c r="C1228">
        <v>17000</v>
      </c>
      <c r="D1228">
        <v>46171318</v>
      </c>
    </row>
    <row r="1229" spans="1:4" x14ac:dyDescent="0.25">
      <c r="A1229" t="str">
        <f>T("   720429")</f>
        <v xml:space="preserve">   720429</v>
      </c>
      <c r="B1229" t="str">
        <f>T("   AUTRES")</f>
        <v xml:space="preserve">   AUTRES</v>
      </c>
      <c r="C1229">
        <v>55000</v>
      </c>
      <c r="D1229">
        <v>2750000</v>
      </c>
    </row>
    <row r="1230" spans="1:4" x14ac:dyDescent="0.25">
      <c r="A1230" t="str">
        <f>T("   730840")</f>
        <v xml:space="preserve">   730840</v>
      </c>
      <c r="B1230" t="str">
        <f>T("   MATERIEL D'ECHAFAUDAGE, DE COFFRAGE, D'ETANCONNEMENT OU D'ETAYAGE")</f>
        <v xml:space="preserve">   MATERIEL D'ECHAFAUDAGE, DE COFFRAGE, D'ETANCONNEMENT OU D'ETAYAGE</v>
      </c>
      <c r="C1230">
        <v>1750</v>
      </c>
      <c r="D1230">
        <v>5525440</v>
      </c>
    </row>
    <row r="1231" spans="1:4" x14ac:dyDescent="0.25">
      <c r="A1231" t="str">
        <f>T("   731100")</f>
        <v xml:space="preserve">   731100</v>
      </c>
      <c r="B1231" t="str">
        <f>T("   RECIPIENTS POUR GAZ COMPRIMES OU LIQUEFIES, EN FONTE, FER OU ACIER.")</f>
        <v xml:space="preserve">   RECIPIENTS POUR GAZ COMPRIMES OU LIQUEFIES, EN FONTE, FER OU ACIER.</v>
      </c>
      <c r="C1231">
        <v>348.2</v>
      </c>
      <c r="D1231">
        <v>26528397</v>
      </c>
    </row>
    <row r="1232" spans="1:4" x14ac:dyDescent="0.25">
      <c r="A1232" t="str">
        <f>T("   731210")</f>
        <v xml:space="preserve">   731210</v>
      </c>
      <c r="B1232" t="str">
        <f>T("   TORONS ET CABLES")</f>
        <v xml:space="preserve">   TORONS ET CABLES</v>
      </c>
      <c r="C1232">
        <v>6020</v>
      </c>
      <c r="D1232">
        <v>42844947</v>
      </c>
    </row>
    <row r="1233" spans="1:4" x14ac:dyDescent="0.25">
      <c r="A1233" t="str">
        <f>T("   731420")</f>
        <v xml:space="preserve">   731420</v>
      </c>
      <c r="B1233" t="str">
        <f>T("   GRILLAGES ET TREILLIS, SOUDES AUX POINTS DE RENCONTRE, EN FILS DONT LA PLUS GRANDE DI")</f>
        <v xml:space="preserve">   GRILLAGES ET TREILLIS, SOUDES AUX POINTS DE RENCONTRE, EN FILS DONT LA PLUS GRANDE DI</v>
      </c>
      <c r="C1233">
        <v>8250</v>
      </c>
      <c r="D1233">
        <v>27436838</v>
      </c>
    </row>
    <row r="1234" spans="1:4" x14ac:dyDescent="0.25">
      <c r="A1234" t="str">
        <f>T("   731815")</f>
        <v xml:space="preserve">   731815</v>
      </c>
      <c r="B1234" t="str">
        <f>T("   AUTRES VIS ET BOULONS, MEME AVEC LEURS ECROUS OU RONDELLES")</f>
        <v xml:space="preserve">   AUTRES VIS ET BOULONS, MEME AVEC LEURS ECROUS OU RONDELLES</v>
      </c>
      <c r="C1234">
        <v>5921</v>
      </c>
      <c r="D1234">
        <v>58081068</v>
      </c>
    </row>
    <row r="1235" spans="1:4" x14ac:dyDescent="0.25">
      <c r="A1235" t="str">
        <f>T("   732394")</f>
        <v xml:space="preserve">   732394</v>
      </c>
      <c r="B1235" t="str">
        <f>T("   EN FER OU EN ACIER, EMAILLES")</f>
        <v xml:space="preserve">   EN FER OU EN ACIER, EMAILLES</v>
      </c>
      <c r="C1235">
        <v>100</v>
      </c>
      <c r="D1235">
        <v>300000</v>
      </c>
    </row>
    <row r="1236" spans="1:4" x14ac:dyDescent="0.25">
      <c r="A1236" t="str">
        <f>T("   732690")</f>
        <v xml:space="preserve">   732690</v>
      </c>
      <c r="B1236" t="str">
        <f>T("   AUTRES")</f>
        <v xml:space="preserve">   AUTRES</v>
      </c>
      <c r="C1236">
        <v>296</v>
      </c>
      <c r="D1236">
        <v>1248482</v>
      </c>
    </row>
    <row r="1237" spans="1:4" x14ac:dyDescent="0.25">
      <c r="A1237" t="str">
        <f>T("   820411")</f>
        <v xml:space="preserve">   820411</v>
      </c>
      <c r="B1237" t="str">
        <f>T("   A OUVERTURE FIXE")</f>
        <v xml:space="preserve">   A OUVERTURE FIXE</v>
      </c>
      <c r="C1237">
        <v>4452</v>
      </c>
      <c r="D1237">
        <v>31688591</v>
      </c>
    </row>
    <row r="1238" spans="1:4" x14ac:dyDescent="0.25">
      <c r="A1238" t="str">
        <f>T("   820559")</f>
        <v xml:space="preserve">   820559</v>
      </c>
      <c r="B1238" t="str">
        <f>T("   AUTRES")</f>
        <v xml:space="preserve">   AUTRES</v>
      </c>
      <c r="C1238">
        <v>2233</v>
      </c>
      <c r="D1238">
        <v>9431019</v>
      </c>
    </row>
    <row r="1239" spans="1:4" x14ac:dyDescent="0.25">
      <c r="A1239" t="str">
        <f>T("   820719")</f>
        <v xml:space="preserve">   820719</v>
      </c>
      <c r="B1239" t="str">
        <f>T("   AUTRES, Y COMPRIS LES PARTIES")</f>
        <v xml:space="preserve">   AUTRES, Y COMPRIS LES PARTIES</v>
      </c>
      <c r="C1239">
        <v>1720</v>
      </c>
      <c r="D1239">
        <v>5591404</v>
      </c>
    </row>
    <row r="1240" spans="1:4" x14ac:dyDescent="0.25">
      <c r="A1240" t="str">
        <f>T("   820790")</f>
        <v xml:space="preserve">   820790</v>
      </c>
      <c r="B1240" t="str">
        <f>T("   AUTRES OUTILS INTERCHANGEABLES")</f>
        <v xml:space="preserve">   AUTRES OUTILS INTERCHANGEABLES</v>
      </c>
      <c r="C1240">
        <v>16600</v>
      </c>
      <c r="D1240">
        <v>88544248</v>
      </c>
    </row>
    <row r="1241" spans="1:4" x14ac:dyDescent="0.25">
      <c r="A1241" t="str">
        <f>T("   830400")</f>
        <v xml:space="preserve">   830400</v>
      </c>
      <c r="B1241" t="str">
        <f>T("   CLASSEURS, FICHIERS, BOITES DE CLASSEMENT, PORTECOPIES, PLUMIERS, PORTECACHETS ET MAT")</f>
        <v xml:space="preserve">   CLASSEURS, FICHIERS, BOITES DE CLASSEMENT, PORTECOPIES, PLUMIERS, PORTECACHETS ET MAT</v>
      </c>
      <c r="C1241">
        <v>336</v>
      </c>
      <c r="D1241">
        <v>1421659</v>
      </c>
    </row>
    <row r="1242" spans="1:4" x14ac:dyDescent="0.25">
      <c r="A1242" t="str">
        <f>T("   841330")</f>
        <v xml:space="preserve">   841330</v>
      </c>
      <c r="B1242" t="str">
        <f>T("   POMPES A CARBURANT, A HUILE OU A LIQUIDE DE REFROIDISSEMENT POUR MOTEURS A ALLUMAGE P")</f>
        <v xml:space="preserve">   POMPES A CARBURANT, A HUILE OU A LIQUIDE DE REFROIDISSEMENT POUR MOTEURS A ALLUMAGE P</v>
      </c>
      <c r="C1242">
        <v>110</v>
      </c>
      <c r="D1242">
        <v>231076594</v>
      </c>
    </row>
    <row r="1243" spans="1:4" x14ac:dyDescent="0.25">
      <c r="A1243" t="str">
        <f>T("   841381")</f>
        <v xml:space="preserve">   841381</v>
      </c>
      <c r="B1243" t="str">
        <f>T("   POMPES")</f>
        <v xml:space="preserve">   POMPES</v>
      </c>
      <c r="C1243">
        <v>23</v>
      </c>
      <c r="D1243">
        <v>32565352</v>
      </c>
    </row>
    <row r="1244" spans="1:4" x14ac:dyDescent="0.25">
      <c r="A1244" t="str">
        <f>T("   842123")</f>
        <v xml:space="preserve">   842123</v>
      </c>
      <c r="B1244" t="str">
        <f>T("   POUR LA FILTRATION DES HUILES MINERALES DANS LES MOTEURS A ALLUMAGE PAR ETINCELLES O")</f>
        <v xml:space="preserve">   POUR LA FILTRATION DES HUILES MINERALES DANS LES MOTEURS A ALLUMAGE PAR ETINCELLES O</v>
      </c>
      <c r="C1244">
        <v>10</v>
      </c>
      <c r="D1244">
        <v>2828766</v>
      </c>
    </row>
    <row r="1245" spans="1:4" x14ac:dyDescent="0.25">
      <c r="A1245" t="str">
        <f>T("   842139")</f>
        <v xml:space="preserve">   842139</v>
      </c>
      <c r="B1245" t="str">
        <f>T("   AUTRES")</f>
        <v xml:space="preserve">   AUTRES</v>
      </c>
      <c r="C1245">
        <v>18</v>
      </c>
      <c r="D1245">
        <v>26158973</v>
      </c>
    </row>
    <row r="1246" spans="1:4" x14ac:dyDescent="0.25">
      <c r="A1246" t="str">
        <f>T("   842199")</f>
        <v xml:space="preserve">   842199</v>
      </c>
      <c r="B1246" t="str">
        <f>T("   AUTRES")</f>
        <v xml:space="preserve">   AUTRES</v>
      </c>
      <c r="C1246">
        <v>5837</v>
      </c>
      <c r="D1246">
        <v>41540458</v>
      </c>
    </row>
    <row r="1247" spans="1:4" x14ac:dyDescent="0.25">
      <c r="A1247" t="str">
        <f>T("   842410")</f>
        <v xml:space="preserve">   842410</v>
      </c>
      <c r="B1247" t="str">
        <f>T("   EXTINCTEURS, MEME CHARGES")</f>
        <v xml:space="preserve">   EXTINCTEURS, MEME CHARGES</v>
      </c>
      <c r="C1247">
        <v>17</v>
      </c>
      <c r="D1247">
        <v>4001745</v>
      </c>
    </row>
    <row r="1248" spans="1:4" x14ac:dyDescent="0.25">
      <c r="A1248" t="str">
        <f>T("   842430")</f>
        <v xml:space="preserve">   842430</v>
      </c>
      <c r="B1248" t="str">
        <f>T("   MACHINES ET APPAREILS A JET DE SABLE, A JET DE VAPEUR ET APPAREILS A JET SIMILAIRES")</f>
        <v xml:space="preserve">   MACHINES ET APPAREILS A JET DE SABLE, A JET DE VAPEUR ET APPAREILS A JET SIMILAIRES</v>
      </c>
      <c r="C1248">
        <v>849</v>
      </c>
      <c r="D1248">
        <v>3585055</v>
      </c>
    </row>
    <row r="1249" spans="1:4" x14ac:dyDescent="0.25">
      <c r="A1249" t="str">
        <f>T("   842919")</f>
        <v xml:space="preserve">   842919</v>
      </c>
      <c r="B1249" t="str">
        <f>T("   AUTRES")</f>
        <v xml:space="preserve">   AUTRES</v>
      </c>
      <c r="C1249">
        <v>46000</v>
      </c>
      <c r="D1249">
        <v>128961736</v>
      </c>
    </row>
    <row r="1250" spans="1:4" x14ac:dyDescent="0.25">
      <c r="A1250" t="str">
        <f>T("   842940")</f>
        <v xml:space="preserve">   842940</v>
      </c>
      <c r="B1250" t="str">
        <f>T("   COMPACTEUSES ET ROULEAUX COMPRESSEURS")</f>
        <v xml:space="preserve">   COMPACTEUSES ET ROULEAUX COMPRESSEURS</v>
      </c>
      <c r="C1250">
        <v>6460</v>
      </c>
      <c r="D1250">
        <v>8930075</v>
      </c>
    </row>
    <row r="1251" spans="1:4" x14ac:dyDescent="0.25">
      <c r="A1251" t="str">
        <f>T("   842959")</f>
        <v xml:space="preserve">   842959</v>
      </c>
      <c r="B1251" t="str">
        <f>T("   AUTRES")</f>
        <v xml:space="preserve">   AUTRES</v>
      </c>
      <c r="C1251">
        <v>130000</v>
      </c>
      <c r="D1251">
        <v>237785500</v>
      </c>
    </row>
    <row r="1252" spans="1:4" x14ac:dyDescent="0.25">
      <c r="A1252" t="str">
        <f>T("   843139")</f>
        <v xml:space="preserve">   843139</v>
      </c>
      <c r="B1252" t="str">
        <f>T("   AUTRES")</f>
        <v xml:space="preserve">   AUTRES</v>
      </c>
      <c r="C1252">
        <v>19540.45</v>
      </c>
      <c r="D1252">
        <v>48383406</v>
      </c>
    </row>
    <row r="1253" spans="1:4" x14ac:dyDescent="0.25">
      <c r="A1253" t="str">
        <f>T("   843141")</f>
        <v xml:space="preserve">   843141</v>
      </c>
      <c r="B1253" t="str">
        <f>T("   GODETS, BENNES, BENNESPRENEUSES, PELLES, GRAPPINS ET PINCES")</f>
        <v xml:space="preserve">   GODETS, BENNES, BENNESPRENEUSES, PELLES, GRAPPINS ET PINCES</v>
      </c>
      <c r="C1253">
        <v>41250</v>
      </c>
      <c r="D1253">
        <v>162483916</v>
      </c>
    </row>
    <row r="1254" spans="1:4" x14ac:dyDescent="0.25">
      <c r="A1254" t="str">
        <f>T("   843143")</f>
        <v xml:space="preserve">   843143</v>
      </c>
      <c r="B1254" t="str">
        <f>T("   PARTIES DE MACHINES DE SONDAGE OU DE FORAGE DES N°S 8430.41 OU 8430.49")</f>
        <v xml:space="preserve">   PARTIES DE MACHINES DE SONDAGE OU DE FORAGE DES N°S 8430.41 OU 8430.49</v>
      </c>
      <c r="C1254">
        <v>49010</v>
      </c>
      <c r="D1254">
        <v>731395400</v>
      </c>
    </row>
    <row r="1255" spans="1:4" x14ac:dyDescent="0.25">
      <c r="A1255" t="str">
        <f>T("   843149")</f>
        <v xml:space="preserve">   843149</v>
      </c>
      <c r="B1255" t="str">
        <f>T("   AUTRES")</f>
        <v xml:space="preserve">   AUTRES</v>
      </c>
      <c r="C1255">
        <v>130485</v>
      </c>
      <c r="D1255">
        <v>694971539</v>
      </c>
    </row>
    <row r="1256" spans="1:4" x14ac:dyDescent="0.25">
      <c r="A1256" t="str">
        <f>T("   847180")</f>
        <v xml:space="preserve">   847180</v>
      </c>
      <c r="B1256" t="str">
        <f>T("   AUTRES UNITES DE MACHINES AUTOMATIQUES DE TRAITEMENT DE L'INFORMATION")</f>
        <v xml:space="preserve">   AUTRES UNITES DE MACHINES AUTOMATIQUES DE TRAITEMENT DE L'INFORMATION</v>
      </c>
      <c r="C1256">
        <v>14</v>
      </c>
      <c r="D1256">
        <v>20357329</v>
      </c>
    </row>
    <row r="1257" spans="1:4" x14ac:dyDescent="0.25">
      <c r="A1257" t="str">
        <f>T("   847439")</f>
        <v xml:space="preserve">   847439</v>
      </c>
      <c r="B1257" t="str">
        <f>T("   AUTRES")</f>
        <v xml:space="preserve">   AUTRES</v>
      </c>
      <c r="C1257">
        <v>10530</v>
      </c>
      <c r="D1257">
        <v>33087934</v>
      </c>
    </row>
    <row r="1258" spans="1:4" x14ac:dyDescent="0.25">
      <c r="A1258" t="str">
        <f>T("   848120")</f>
        <v xml:space="preserve">   848120</v>
      </c>
      <c r="B1258" t="str">
        <f>T("   VALVES POUR TRANSMISSIONS OLEOHYDRAULIQUES OU PNEUMATIQUES")</f>
        <v xml:space="preserve">   VALVES POUR TRANSMISSIONS OLEOHYDRAULIQUES OU PNEUMATIQUES</v>
      </c>
      <c r="C1258">
        <v>20</v>
      </c>
      <c r="D1258">
        <v>28188548</v>
      </c>
    </row>
    <row r="1259" spans="1:4" x14ac:dyDescent="0.25">
      <c r="A1259" t="str">
        <f>T("   848180")</f>
        <v xml:space="preserve">   848180</v>
      </c>
      <c r="B1259" t="str">
        <f>T("   Autres articles de robinetterie et organes similaires")</f>
        <v xml:space="preserve">   Autres articles de robinetterie et organes similaires</v>
      </c>
      <c r="C1259">
        <v>1158</v>
      </c>
      <c r="D1259">
        <v>15115625</v>
      </c>
    </row>
    <row r="1260" spans="1:4" x14ac:dyDescent="0.25">
      <c r="A1260" t="str">
        <f>T("   848360")</f>
        <v xml:space="preserve">   848360</v>
      </c>
      <c r="B1260" t="str">
        <f>T("   EMBRAYAGES ET ORGANES D'ACCOUPLEMENT, Y COMPRIS LES JOINTS D'ARTICULATION")</f>
        <v xml:space="preserve">   EMBRAYAGES ET ORGANES D'ACCOUPLEMENT, Y COMPRIS LES JOINTS D'ARTICULATION</v>
      </c>
      <c r="C1260">
        <v>11</v>
      </c>
      <c r="D1260">
        <v>14296907</v>
      </c>
    </row>
    <row r="1261" spans="1:4" x14ac:dyDescent="0.25">
      <c r="A1261" t="str">
        <f>T("   850211")</f>
        <v xml:space="preserve">   850211</v>
      </c>
      <c r="B1261" t="str">
        <f>T("   D'UNE PUISSANCE N'EXCEDANT PAS 75 KVA")</f>
        <v xml:space="preserve">   D'UNE PUISSANCE N'EXCEDANT PAS 75 KVA</v>
      </c>
      <c r="C1261">
        <v>250</v>
      </c>
      <c r="D1261">
        <v>12272000</v>
      </c>
    </row>
    <row r="1262" spans="1:4" x14ac:dyDescent="0.25">
      <c r="A1262" t="str">
        <f>T("   850422")</f>
        <v xml:space="preserve">   850422</v>
      </c>
      <c r="B1262" t="str">
        <f>T("   D'UNE PUISSANCE EXCEDANT 650 KVA MAIS N'EXCEDANT PAS 10.000 KVA")</f>
        <v xml:space="preserve">   D'UNE PUISSANCE EXCEDANT 650 KVA MAIS N'EXCEDANT PAS 10.000 KVA</v>
      </c>
      <c r="C1262">
        <v>10000</v>
      </c>
      <c r="D1262">
        <v>112884747</v>
      </c>
    </row>
    <row r="1263" spans="1:4" x14ac:dyDescent="0.25">
      <c r="A1263" t="str">
        <f>T("   850590")</f>
        <v xml:space="preserve">   850590</v>
      </c>
      <c r="B1263" t="str">
        <f>T("   AUTRES, Y COMPRIS LES PARTIES")</f>
        <v xml:space="preserve">   AUTRES, Y COMPRIS LES PARTIES</v>
      </c>
      <c r="C1263">
        <v>289</v>
      </c>
      <c r="D1263">
        <v>1220240</v>
      </c>
    </row>
    <row r="1264" spans="1:4" x14ac:dyDescent="0.25">
      <c r="A1264" t="str">
        <f>T("   850650")</f>
        <v xml:space="preserve">   850650</v>
      </c>
      <c r="B1264" t="str">
        <f>T("   AU LITHIUM")</f>
        <v xml:space="preserve">   AU LITHIUM</v>
      </c>
      <c r="C1264">
        <v>8</v>
      </c>
      <c r="D1264">
        <v>16766150</v>
      </c>
    </row>
    <row r="1265" spans="1:4" x14ac:dyDescent="0.25">
      <c r="A1265" t="str">
        <f>T("   850780")</f>
        <v xml:space="preserve">   850780</v>
      </c>
      <c r="B1265" t="str">
        <f>T("   AUTRES ACCUMULATEURS")</f>
        <v xml:space="preserve">   AUTRES ACCUMULATEURS</v>
      </c>
      <c r="C1265">
        <v>14</v>
      </c>
      <c r="D1265">
        <v>20176709</v>
      </c>
    </row>
    <row r="1266" spans="1:4" x14ac:dyDescent="0.25">
      <c r="A1266" t="str">
        <f>T("   851180")</f>
        <v xml:space="preserve">   851180</v>
      </c>
      <c r="B1266" t="str">
        <f>T("   AUTRES APPAREILS ET DISPOSITIFS")</f>
        <v xml:space="preserve">   AUTRES APPAREILS ET DISPOSITIFS</v>
      </c>
      <c r="C1266">
        <v>2617</v>
      </c>
      <c r="D1266">
        <v>11019462</v>
      </c>
    </row>
    <row r="1267" spans="1:4" x14ac:dyDescent="0.25">
      <c r="A1267" t="str">
        <f>T("   851220")</f>
        <v xml:space="preserve">   851220</v>
      </c>
      <c r="B1267" t="str">
        <f>T("   AUTRES APPAREILS D'ECLAIRAGE OU DE SIGNALISATION VISUELLE")</f>
        <v xml:space="preserve">   AUTRES APPAREILS D'ECLAIRAGE OU DE SIGNALISATION VISUELLE</v>
      </c>
      <c r="C1267">
        <v>34</v>
      </c>
      <c r="D1267">
        <v>4280362</v>
      </c>
    </row>
    <row r="1268" spans="1:4" x14ac:dyDescent="0.25">
      <c r="A1268" t="str">
        <f>T("   851310")</f>
        <v xml:space="preserve">   851310</v>
      </c>
      <c r="B1268" t="str">
        <f>T("   LAMPES")</f>
        <v xml:space="preserve">   LAMPES</v>
      </c>
      <c r="C1268">
        <v>7086</v>
      </c>
      <c r="D1268">
        <v>50427902</v>
      </c>
    </row>
    <row r="1269" spans="1:4" x14ac:dyDescent="0.25">
      <c r="A1269" t="str">
        <f>T("   852550")</f>
        <v xml:space="preserve">   852550</v>
      </c>
      <c r="B1269" t="str">
        <f>T("   APPAREILS D'EMISSION")</f>
        <v xml:space="preserve">   APPAREILS D'EMISSION</v>
      </c>
      <c r="C1269">
        <v>2</v>
      </c>
      <c r="D1269">
        <v>2190533</v>
      </c>
    </row>
    <row r="1270" spans="1:4" x14ac:dyDescent="0.25">
      <c r="A1270" t="str">
        <f>T("   852990")</f>
        <v xml:space="preserve">   852990</v>
      </c>
      <c r="B1270" t="str">
        <f>T("   AUTRES")</f>
        <v xml:space="preserve">   AUTRES</v>
      </c>
      <c r="C1270">
        <v>360</v>
      </c>
      <c r="D1270">
        <v>129631506</v>
      </c>
    </row>
    <row r="1271" spans="1:4" x14ac:dyDescent="0.25">
      <c r="A1271" t="str">
        <f>T("   853669")</f>
        <v xml:space="preserve">   853669</v>
      </c>
      <c r="B1271" t="str">
        <f>T("   AUTRES")</f>
        <v xml:space="preserve">   AUTRES</v>
      </c>
      <c r="C1271">
        <v>26</v>
      </c>
      <c r="D1271">
        <v>36258824</v>
      </c>
    </row>
    <row r="1272" spans="1:4" x14ac:dyDescent="0.25">
      <c r="A1272" t="str">
        <f>T("   853710")</f>
        <v xml:space="preserve">   853710</v>
      </c>
      <c r="B1272" t="str">
        <f>T("   POUR UNE TENSION N'EXCEDANT PAS 1.000 V")</f>
        <v xml:space="preserve">   POUR UNE TENSION N'EXCEDANT PAS 1.000 V</v>
      </c>
      <c r="C1272">
        <v>5</v>
      </c>
      <c r="D1272">
        <v>3758776</v>
      </c>
    </row>
    <row r="1273" spans="1:4" x14ac:dyDescent="0.25">
      <c r="A1273" t="str">
        <f>T("   854370")</f>
        <v xml:space="preserve">   854370</v>
      </c>
      <c r="B1273" t="str">
        <f>T("   AUTRES MACHINES ET APPAREILS")</f>
        <v xml:space="preserve">   AUTRES MACHINES ET APPAREILS</v>
      </c>
      <c r="C1273">
        <v>10</v>
      </c>
      <c r="D1273">
        <v>6102771</v>
      </c>
    </row>
    <row r="1274" spans="1:4" x14ac:dyDescent="0.25">
      <c r="A1274" t="str">
        <f>T("   854430")</f>
        <v xml:space="preserve">   854430</v>
      </c>
      <c r="B1274" t="str">
        <f>T("   JEUX DE FILS POUR BOUGIES D'ALLUMAGE ET AUTRES JEUX DE FILS DES TYPES UTILISES DANS L")</f>
        <v xml:space="preserve">   JEUX DE FILS POUR BOUGIES D'ALLUMAGE ET AUTRES JEUX DE FILS DES TYPES UTILISES DANS L</v>
      </c>
      <c r="C1274">
        <v>5</v>
      </c>
      <c r="D1274">
        <v>3185295</v>
      </c>
    </row>
    <row r="1275" spans="1:4" x14ac:dyDescent="0.25">
      <c r="A1275" t="str">
        <f>T("   870190")</f>
        <v xml:space="preserve">   870190</v>
      </c>
      <c r="B1275" t="str">
        <f>T("   AUTRES")</f>
        <v xml:space="preserve">   AUTRES</v>
      </c>
      <c r="C1275">
        <v>1645</v>
      </c>
      <c r="D1275">
        <v>6945778</v>
      </c>
    </row>
    <row r="1276" spans="1:4" x14ac:dyDescent="0.25">
      <c r="A1276" t="str">
        <f>T("   880310")</f>
        <v xml:space="preserve">   880310</v>
      </c>
      <c r="B1276" t="str">
        <f>T("   HELICES ET ROTORS, ET LEURS PARTIES")</f>
        <v xml:space="preserve">   HELICES ET ROTORS, ET LEURS PARTIES</v>
      </c>
      <c r="C1276">
        <v>35</v>
      </c>
      <c r="D1276">
        <v>49924689</v>
      </c>
    </row>
    <row r="1277" spans="1:4" x14ac:dyDescent="0.25">
      <c r="A1277" t="str">
        <f>T("   880330")</f>
        <v xml:space="preserve">   880330</v>
      </c>
      <c r="B1277" t="str">
        <f>T("   AUTRES PARTIES D'AVIONS OU D'HELICOPTERES")</f>
        <v xml:space="preserve">   AUTRES PARTIES D'AVIONS OU D'HELICOPTERES</v>
      </c>
      <c r="C1277">
        <v>338</v>
      </c>
      <c r="D1277">
        <v>418209817</v>
      </c>
    </row>
    <row r="1278" spans="1:4" x14ac:dyDescent="0.25">
      <c r="A1278" t="str">
        <f>T("   880390")</f>
        <v xml:space="preserve">   880390</v>
      </c>
      <c r="B1278" t="str">
        <f>T("   AUTRES")</f>
        <v xml:space="preserve">   AUTRES</v>
      </c>
      <c r="C1278">
        <v>13</v>
      </c>
      <c r="D1278">
        <v>18598523</v>
      </c>
    </row>
    <row r="1279" spans="1:4" x14ac:dyDescent="0.25">
      <c r="A1279" t="str">
        <f>T("   890710")</f>
        <v xml:space="preserve">   890710</v>
      </c>
      <c r="B1279" t="str">
        <f>T("   RADEAUX GONFLABLES")</f>
        <v xml:space="preserve">   RADEAUX GONFLABLES</v>
      </c>
      <c r="C1279">
        <v>183</v>
      </c>
      <c r="D1279">
        <v>24442393</v>
      </c>
    </row>
    <row r="1280" spans="1:4" x14ac:dyDescent="0.25">
      <c r="A1280" t="str">
        <f>T("   901510")</f>
        <v xml:space="preserve">   901510</v>
      </c>
      <c r="B1280" t="str">
        <f>T("   TELEMETRES")</f>
        <v xml:space="preserve">   TELEMETRES</v>
      </c>
      <c r="C1280">
        <v>20</v>
      </c>
      <c r="D1280">
        <v>4785018</v>
      </c>
    </row>
    <row r="1281" spans="1:4" x14ac:dyDescent="0.25">
      <c r="A1281" t="str">
        <f>T("   901580")</f>
        <v xml:space="preserve">   901580</v>
      </c>
      <c r="B1281" t="str">
        <f>T("   AUTRES INSTRUMENTS ET APPAREILS")</f>
        <v xml:space="preserve">   AUTRES INSTRUMENTS ET APPAREILS</v>
      </c>
      <c r="C1281">
        <v>1205</v>
      </c>
      <c r="D1281">
        <v>36956950</v>
      </c>
    </row>
    <row r="1282" spans="1:4" x14ac:dyDescent="0.25">
      <c r="A1282" t="str">
        <f>T("   901590")</f>
        <v xml:space="preserve">   901590</v>
      </c>
      <c r="B1282" t="str">
        <f>T("   PARTIES ET ACCESSOIRES")</f>
        <v xml:space="preserve">   PARTIES ET ACCESSOIRES</v>
      </c>
      <c r="C1282">
        <v>107</v>
      </c>
      <c r="D1282">
        <v>3983809</v>
      </c>
    </row>
    <row r="1283" spans="1:4" x14ac:dyDescent="0.25">
      <c r="A1283" t="str">
        <f>T("   902620")</f>
        <v xml:space="preserve">   902620</v>
      </c>
      <c r="B1283" t="str">
        <f>T("   POUR LA MESURE OU LE CONTROLE DE LA PRESSION")</f>
        <v xml:space="preserve">   POUR LA MESURE OU LE CONTROLE DE LA PRESSION</v>
      </c>
      <c r="C1283">
        <v>773</v>
      </c>
      <c r="D1283">
        <v>3263210</v>
      </c>
    </row>
    <row r="1284" spans="1:4" x14ac:dyDescent="0.25">
      <c r="A1284" t="str">
        <f>T("   903289")</f>
        <v xml:space="preserve">   903289</v>
      </c>
      <c r="B1284" t="str">
        <f>T("   AUTRES")</f>
        <v xml:space="preserve">   AUTRES</v>
      </c>
      <c r="C1284">
        <v>16</v>
      </c>
      <c r="D1284">
        <v>23055042</v>
      </c>
    </row>
    <row r="1285" spans="1:4" x14ac:dyDescent="0.25">
      <c r="A1285" t="str">
        <f>T("   940350")</f>
        <v xml:space="preserve">   940350</v>
      </c>
      <c r="B1285" t="str">
        <f>T("   MEUBLES EN BOIS DES TYPES UTILISES DANS LES CHAMBRES A COUCHER")</f>
        <v xml:space="preserve">   MEUBLES EN BOIS DES TYPES UTILISES DANS LES CHAMBRES A COUCHER</v>
      </c>
      <c r="C1285">
        <v>1400</v>
      </c>
      <c r="D1285">
        <v>1000000</v>
      </c>
    </row>
    <row r="1286" spans="1:4" s="1" customFormat="1" x14ac:dyDescent="0.25">
      <c r="A1286" s="1" t="str">
        <f>T("   ZZ_Total_Produit_SH6")</f>
        <v xml:space="preserve">   ZZ_Total_Produit_SH6</v>
      </c>
      <c r="B1286" s="1" t="str">
        <f>T("   ZZ_Total_Produit_SH6")</f>
        <v xml:space="preserve">   ZZ_Total_Produit_SH6</v>
      </c>
      <c r="C1286" s="1">
        <v>1402921.65</v>
      </c>
      <c r="D1286" s="1">
        <v>4980746969</v>
      </c>
    </row>
    <row r="1287" spans="1:4" s="1" customFormat="1" x14ac:dyDescent="0.25">
      <c r="B1287" s="1" t="str">
        <f>T("Norvège")</f>
        <v>Norvège</v>
      </c>
    </row>
    <row r="1288" spans="1:4" x14ac:dyDescent="0.25">
      <c r="A1288" t="str">
        <f>T("   391732")</f>
        <v xml:space="preserve">   391732</v>
      </c>
      <c r="B1288" t="str">
        <f>T("   AUTRES, NON RENFORCES D'AUTRES MATIERES NI AUTREMENT ASSOCIES A D'AUTRES MATIERES, S")</f>
        <v xml:space="preserve">   AUTRES, NON RENFORCES D'AUTRES MATIERES NI AUTREMENT ASSOCIES A D'AUTRES MATIERES, S</v>
      </c>
      <c r="C1288">
        <v>291</v>
      </c>
      <c r="D1288">
        <v>3239345</v>
      </c>
    </row>
    <row r="1289" spans="1:4" x14ac:dyDescent="0.25">
      <c r="A1289" t="str">
        <f>T("   730791")</f>
        <v xml:space="preserve">   730791</v>
      </c>
      <c r="B1289" t="str">
        <f>T("   BRIDES")</f>
        <v xml:space="preserve">   BRIDES</v>
      </c>
      <c r="C1289">
        <v>207</v>
      </c>
      <c r="D1289">
        <v>2312238</v>
      </c>
    </row>
    <row r="1290" spans="1:4" x14ac:dyDescent="0.25">
      <c r="A1290" t="str">
        <f>T("   731600")</f>
        <v xml:space="preserve">   731600</v>
      </c>
      <c r="B1290" t="str">
        <f>T("   ANCRES, GRAPPINS ET LEURS PARTIES, EN FONTE, FER OU ACIER.")</f>
        <v xml:space="preserve">   ANCRES, GRAPPINS ET LEURS PARTIES, EN FONTE, FER OU ACIER.</v>
      </c>
      <c r="C1290">
        <v>3.4</v>
      </c>
      <c r="D1290">
        <v>563045</v>
      </c>
    </row>
    <row r="1291" spans="1:4" x14ac:dyDescent="0.25">
      <c r="A1291" t="str">
        <f>T("   841319")</f>
        <v xml:space="preserve">   841319</v>
      </c>
      <c r="B1291" t="str">
        <f>T("   AUTRES")</f>
        <v xml:space="preserve">   AUTRES</v>
      </c>
      <c r="C1291">
        <v>1.7</v>
      </c>
      <c r="D1291">
        <v>1167910</v>
      </c>
    </row>
    <row r="1292" spans="1:4" x14ac:dyDescent="0.25">
      <c r="A1292" t="str">
        <f>T("   841330")</f>
        <v xml:space="preserve">   841330</v>
      </c>
      <c r="B1292" t="str">
        <f>T("   POMPES A CARBURANT, A HUILE OU A LIQUIDE DE REFROIDISSEMENT POUR MOTEURS A ALLUMAGE P")</f>
        <v xml:space="preserve">   POMPES A CARBURANT, A HUILE OU A LIQUIDE DE REFROIDISSEMENT POUR MOTEURS A ALLUMAGE P</v>
      </c>
      <c r="C1292">
        <v>8</v>
      </c>
      <c r="D1292">
        <v>12633030</v>
      </c>
    </row>
    <row r="1293" spans="1:4" x14ac:dyDescent="0.25">
      <c r="A1293" t="str">
        <f>T("   841360")</f>
        <v xml:space="preserve">   841360</v>
      </c>
      <c r="B1293" t="str">
        <f>T("   Autres pompes volumetriques rotatives")</f>
        <v xml:space="preserve">   Autres pompes volumetriques rotatives</v>
      </c>
      <c r="C1293">
        <v>344</v>
      </c>
      <c r="D1293">
        <v>3826698</v>
      </c>
    </row>
    <row r="1294" spans="1:4" x14ac:dyDescent="0.25">
      <c r="A1294" t="str">
        <f>T("   841391")</f>
        <v xml:space="preserve">   841391</v>
      </c>
      <c r="B1294" t="str">
        <f>T("   DE POMPES")</f>
        <v xml:space="preserve">   DE POMPES</v>
      </c>
      <c r="C1294">
        <v>2</v>
      </c>
      <c r="D1294">
        <v>1144269</v>
      </c>
    </row>
    <row r="1295" spans="1:4" x14ac:dyDescent="0.25">
      <c r="A1295" t="str">
        <f>T("   843143")</f>
        <v xml:space="preserve">   843143</v>
      </c>
      <c r="B1295" t="str">
        <f>T("   PARTIES DE MACHINES DE SONDAGE OU DE FORAGE DES N°S 8430.41 OU 8430.49")</f>
        <v xml:space="preserve">   PARTIES DE MACHINES DE SONDAGE OU DE FORAGE DES N°S 8430.41 OU 8430.49</v>
      </c>
      <c r="C1295">
        <v>376</v>
      </c>
      <c r="D1295">
        <v>76275029</v>
      </c>
    </row>
    <row r="1296" spans="1:4" x14ac:dyDescent="0.25">
      <c r="A1296" t="str">
        <f>T("   843149")</f>
        <v xml:space="preserve">   843149</v>
      </c>
      <c r="B1296" t="str">
        <f>T("   AUTRES")</f>
        <v xml:space="preserve">   AUTRES</v>
      </c>
      <c r="C1296">
        <v>239</v>
      </c>
      <c r="D1296">
        <v>20190360</v>
      </c>
    </row>
    <row r="1297" spans="1:4" x14ac:dyDescent="0.25">
      <c r="A1297" t="str">
        <f>T("   847180")</f>
        <v xml:space="preserve">   847180</v>
      </c>
      <c r="B1297" t="str">
        <f>T("   AUTRES UNITES DE MACHINES AUTOMATIQUES DE TRAITEMENT DE L'INFORMATION")</f>
        <v xml:space="preserve">   AUTRES UNITES DE MACHINES AUTOMATIQUES DE TRAITEMENT DE L'INFORMATION</v>
      </c>
      <c r="C1297">
        <v>6500</v>
      </c>
      <c r="D1297">
        <v>21660965</v>
      </c>
    </row>
    <row r="1298" spans="1:4" x14ac:dyDescent="0.25">
      <c r="A1298" t="str">
        <f>T("   850132")</f>
        <v xml:space="preserve">   850132</v>
      </c>
      <c r="B1298" t="str">
        <f>T("   D'UNE PUISSANCE EXCEDANT 750 W MAIS N'EXCEDANT PAS 75 KW")</f>
        <v xml:space="preserve">   D'UNE PUISSANCE EXCEDANT 750 W MAIS N'EXCEDANT PAS 75 KW</v>
      </c>
      <c r="C1298">
        <v>199</v>
      </c>
      <c r="D1298">
        <v>2215686</v>
      </c>
    </row>
    <row r="1299" spans="1:4" x14ac:dyDescent="0.25">
      <c r="A1299" t="str">
        <f>T("   850490")</f>
        <v xml:space="preserve">   850490</v>
      </c>
      <c r="B1299" t="str">
        <f>T("   PARTIES")</f>
        <v xml:space="preserve">   PARTIES</v>
      </c>
      <c r="C1299">
        <v>3</v>
      </c>
      <c r="D1299">
        <v>2510100</v>
      </c>
    </row>
    <row r="1300" spans="1:4" x14ac:dyDescent="0.25">
      <c r="A1300" t="str">
        <f>T("   850680")</f>
        <v xml:space="preserve">   850680</v>
      </c>
      <c r="B1300" t="str">
        <f>T("   AUTRES PILES ET BATTERIES DE PILES")</f>
        <v xml:space="preserve">   AUTRES PILES ET BATTERIES DE PILES</v>
      </c>
      <c r="C1300">
        <v>5.3</v>
      </c>
      <c r="D1300">
        <v>1243401</v>
      </c>
    </row>
    <row r="1301" spans="1:4" x14ac:dyDescent="0.25">
      <c r="A1301" t="str">
        <f>T("   850780")</f>
        <v xml:space="preserve">   850780</v>
      </c>
      <c r="B1301" t="str">
        <f>T("   AUTRES ACCUMULATEURS")</f>
        <v xml:space="preserve">   AUTRES ACCUMULATEURS</v>
      </c>
      <c r="C1301">
        <v>1</v>
      </c>
      <c r="D1301">
        <v>1111802</v>
      </c>
    </row>
    <row r="1302" spans="1:4" x14ac:dyDescent="0.25">
      <c r="A1302" t="str">
        <f>T("   853590")</f>
        <v xml:space="preserve">   853590</v>
      </c>
      <c r="B1302" t="str">
        <f>T("   AUTRES")</f>
        <v xml:space="preserve">   AUTRES</v>
      </c>
      <c r="C1302">
        <v>1</v>
      </c>
      <c r="D1302">
        <v>1328745</v>
      </c>
    </row>
    <row r="1303" spans="1:4" x14ac:dyDescent="0.25">
      <c r="A1303" t="str">
        <f>T("   854420")</f>
        <v xml:space="preserve">   854420</v>
      </c>
      <c r="B1303" t="str">
        <f>T("   Cables coaxiaux et autres conducteurs electriques coaxiaux")</f>
        <v xml:space="preserve">   Cables coaxiaux et autres conducteurs electriques coaxiaux</v>
      </c>
      <c r="C1303">
        <v>109</v>
      </c>
      <c r="D1303">
        <v>1210922</v>
      </c>
    </row>
    <row r="1304" spans="1:4" x14ac:dyDescent="0.25">
      <c r="A1304" t="str">
        <f>T("   880212")</f>
        <v xml:space="preserve">   880212</v>
      </c>
      <c r="B1304" t="str">
        <f>T("   D'UN POIDS A VIDE EXCEDANT 2.000 KG")</f>
        <v xml:space="preserve">   D'UN POIDS A VIDE EXCEDANT 2.000 KG</v>
      </c>
      <c r="C1304">
        <v>40</v>
      </c>
      <c r="D1304">
        <v>1337832</v>
      </c>
    </row>
    <row r="1305" spans="1:4" x14ac:dyDescent="0.25">
      <c r="A1305" t="str">
        <f>T("   880330")</f>
        <v xml:space="preserve">   880330</v>
      </c>
      <c r="B1305" t="str">
        <f>T("   AUTRES PARTIES D'AVIONS OU D'HELICOPTERES")</f>
        <v xml:space="preserve">   AUTRES PARTIES D'AVIONS OU D'HELICOPTERES</v>
      </c>
      <c r="C1305">
        <v>7</v>
      </c>
      <c r="D1305">
        <v>4880201</v>
      </c>
    </row>
    <row r="1306" spans="1:4" x14ac:dyDescent="0.25">
      <c r="A1306" t="str">
        <f>T("   890710")</f>
        <v xml:space="preserve">   890710</v>
      </c>
      <c r="B1306" t="str">
        <f>T("   RADEAUX GONFLABLES")</f>
        <v xml:space="preserve">   RADEAUX GONFLABLES</v>
      </c>
      <c r="C1306">
        <v>200</v>
      </c>
      <c r="D1306">
        <v>5739795</v>
      </c>
    </row>
    <row r="1307" spans="1:4" x14ac:dyDescent="0.25">
      <c r="A1307" t="str">
        <f>T("   890790")</f>
        <v xml:space="preserve">   890790</v>
      </c>
      <c r="B1307" t="str">
        <f>T("   AUTRES")</f>
        <v xml:space="preserve">   AUTRES</v>
      </c>
      <c r="C1307">
        <v>97.5</v>
      </c>
      <c r="D1307">
        <v>12953855</v>
      </c>
    </row>
    <row r="1308" spans="1:4" x14ac:dyDescent="0.25">
      <c r="A1308" t="str">
        <f>T("   901410")</f>
        <v xml:space="preserve">   901410</v>
      </c>
      <c r="B1308" t="str">
        <f>T("   BOUSSOLES, Y COMPRIS LES COMPAS DE NAVIGATION")</f>
        <v xml:space="preserve">   BOUSSOLES, Y COMPRIS LES COMPAS DE NAVIGATION</v>
      </c>
      <c r="C1308">
        <v>9</v>
      </c>
      <c r="D1308">
        <v>10578891</v>
      </c>
    </row>
    <row r="1309" spans="1:4" s="1" customFormat="1" x14ac:dyDescent="0.25">
      <c r="A1309" s="1" t="str">
        <f>T("   ZZ_Total_Produit_SH6")</f>
        <v xml:space="preserve">   ZZ_Total_Produit_SH6</v>
      </c>
      <c r="B1309" s="1" t="str">
        <f>T("   ZZ_Total_Produit_SH6")</f>
        <v xml:space="preserve">   ZZ_Total_Produit_SH6</v>
      </c>
      <c r="C1309" s="1">
        <v>8643.9</v>
      </c>
      <c r="D1309" s="1">
        <v>188124119</v>
      </c>
    </row>
    <row r="1310" spans="1:4" s="1" customFormat="1" x14ac:dyDescent="0.25">
      <c r="B1310" s="1" t="str">
        <f>T("Philippines")</f>
        <v>Philippines</v>
      </c>
    </row>
    <row r="1311" spans="1:4" x14ac:dyDescent="0.25">
      <c r="A1311" t="str">
        <f>T("   392690")</f>
        <v xml:space="preserve">   392690</v>
      </c>
      <c r="B1311" t="str">
        <f>T("   AUTRES")</f>
        <v xml:space="preserve">   AUTRES</v>
      </c>
      <c r="C1311">
        <v>15000</v>
      </c>
      <c r="D1311">
        <v>1920000</v>
      </c>
    </row>
    <row r="1312" spans="1:4" x14ac:dyDescent="0.25">
      <c r="A1312" t="str">
        <f>T("   842549")</f>
        <v xml:space="preserve">   842549</v>
      </c>
      <c r="B1312" t="str">
        <f>T("   AUTRES")</f>
        <v xml:space="preserve">   AUTRES</v>
      </c>
      <c r="C1312">
        <v>62</v>
      </c>
      <c r="D1312">
        <v>248948</v>
      </c>
    </row>
    <row r="1313" spans="1:4" s="1" customFormat="1" x14ac:dyDescent="0.25">
      <c r="A1313" s="1" t="str">
        <f>T("   ZZ_Total_Produit_SH6")</f>
        <v xml:space="preserve">   ZZ_Total_Produit_SH6</v>
      </c>
      <c r="B1313" s="1" t="str">
        <f>T("   ZZ_Total_Produit_SH6")</f>
        <v xml:space="preserve">   ZZ_Total_Produit_SH6</v>
      </c>
      <c r="C1313" s="1">
        <v>15062</v>
      </c>
      <c r="D1313" s="1">
        <v>2168948</v>
      </c>
    </row>
    <row r="1314" spans="1:4" s="1" customFormat="1" x14ac:dyDescent="0.25">
      <c r="B1314" s="1" t="str">
        <f>T("Pakistan")</f>
        <v>Pakistan</v>
      </c>
    </row>
    <row r="1315" spans="1:4" x14ac:dyDescent="0.25">
      <c r="A1315" t="str">
        <f>T("   120799")</f>
        <v xml:space="preserve">   120799</v>
      </c>
      <c r="B1315" t="str">
        <f>T("   AUTRES")</f>
        <v xml:space="preserve">   AUTRES</v>
      </c>
      <c r="C1315">
        <v>80691</v>
      </c>
      <c r="D1315">
        <v>1613820</v>
      </c>
    </row>
    <row r="1316" spans="1:4" x14ac:dyDescent="0.25">
      <c r="A1316" t="str">
        <f>T("   520299")</f>
        <v xml:space="preserve">   520299</v>
      </c>
      <c r="B1316" t="str">
        <f>T("   AUTRES")</f>
        <v xml:space="preserve">   AUTRES</v>
      </c>
      <c r="C1316">
        <v>262898</v>
      </c>
      <c r="D1316">
        <v>35491230</v>
      </c>
    </row>
    <row r="1317" spans="1:4" s="1" customFormat="1" x14ac:dyDescent="0.25">
      <c r="A1317" s="1" t="str">
        <f>T("   ZZ_Total_Produit_SH6")</f>
        <v xml:space="preserve">   ZZ_Total_Produit_SH6</v>
      </c>
      <c r="B1317" s="1" t="str">
        <f>T("   ZZ_Total_Produit_SH6")</f>
        <v xml:space="preserve">   ZZ_Total_Produit_SH6</v>
      </c>
      <c r="C1317" s="1">
        <v>343589</v>
      </c>
      <c r="D1317" s="1">
        <v>37105050</v>
      </c>
    </row>
    <row r="1318" spans="1:4" s="1" customFormat="1" x14ac:dyDescent="0.25">
      <c r="B1318" s="1" t="str">
        <f>T("Portugal")</f>
        <v>Portugal</v>
      </c>
    </row>
    <row r="1319" spans="1:4" x14ac:dyDescent="0.25">
      <c r="A1319" t="str">
        <f>T("   520100")</f>
        <v xml:space="preserve">   520100</v>
      </c>
      <c r="B1319" t="str">
        <f>T("   COTON, NON CARDE NI PEIGNE.")</f>
        <v xml:space="preserve">   COTON, NON CARDE NI PEIGNE.</v>
      </c>
      <c r="C1319">
        <v>1673398</v>
      </c>
      <c r="D1319">
        <v>1359965828</v>
      </c>
    </row>
    <row r="1320" spans="1:4" x14ac:dyDescent="0.25">
      <c r="A1320" t="str">
        <f>T("   520419")</f>
        <v xml:space="preserve">   520419</v>
      </c>
      <c r="B1320" t="str">
        <f>T("   AUTRES")</f>
        <v xml:space="preserve">   AUTRES</v>
      </c>
      <c r="C1320">
        <v>106083</v>
      </c>
      <c r="D1320">
        <v>62776942</v>
      </c>
    </row>
    <row r="1321" spans="1:4" x14ac:dyDescent="0.25">
      <c r="A1321" t="str">
        <f>T("   620590")</f>
        <v xml:space="preserve">   620590</v>
      </c>
      <c r="B1321" t="str">
        <f>T("   D'AUTRES MATIERES TEXTILES")</f>
        <v xml:space="preserve">   D'AUTRES MATIERES TEXTILES</v>
      </c>
      <c r="C1321">
        <v>700</v>
      </c>
      <c r="D1321">
        <v>600000</v>
      </c>
    </row>
    <row r="1322" spans="1:4" x14ac:dyDescent="0.25">
      <c r="A1322" t="str">
        <f>T("   732394")</f>
        <v xml:space="preserve">   732394</v>
      </c>
      <c r="B1322" t="str">
        <f>T("   EN FER OU EN ACIER, EMAILLES")</f>
        <v xml:space="preserve">   EN FER OU EN ACIER, EMAILLES</v>
      </c>
      <c r="C1322">
        <v>300</v>
      </c>
      <c r="D1322">
        <v>200000</v>
      </c>
    </row>
    <row r="1323" spans="1:4" x14ac:dyDescent="0.25">
      <c r="A1323" t="str">
        <f>T("   940360")</f>
        <v xml:space="preserve">   940360</v>
      </c>
      <c r="B1323" t="str">
        <f>T("   Autres meubles en bois")</f>
        <v xml:space="preserve">   Autres meubles en bois</v>
      </c>
      <c r="C1323">
        <v>1500</v>
      </c>
      <c r="D1323">
        <v>1200000</v>
      </c>
    </row>
    <row r="1324" spans="1:4" s="1" customFormat="1" x14ac:dyDescent="0.25">
      <c r="A1324" s="1" t="str">
        <f>T("   ZZ_Total_Produit_SH6")</f>
        <v xml:space="preserve">   ZZ_Total_Produit_SH6</v>
      </c>
      <c r="B1324" s="1" t="str">
        <f>T("   ZZ_Total_Produit_SH6")</f>
        <v xml:space="preserve">   ZZ_Total_Produit_SH6</v>
      </c>
      <c r="C1324" s="1">
        <v>1781981</v>
      </c>
      <c r="D1324" s="1">
        <v>1424742770</v>
      </c>
    </row>
    <row r="1325" spans="1:4" s="1" customFormat="1" x14ac:dyDescent="0.25">
      <c r="B1325" s="1" t="str">
        <f>T("Arabie Saoudite")</f>
        <v>Arabie Saoudite</v>
      </c>
    </row>
    <row r="1326" spans="1:4" x14ac:dyDescent="0.25">
      <c r="A1326" t="str">
        <f>T("   040900")</f>
        <v xml:space="preserve">   040900</v>
      </c>
      <c r="B1326" t="str">
        <f>T("   MIEL NATUREL.")</f>
        <v xml:space="preserve">   MIEL NATUREL.</v>
      </c>
      <c r="C1326">
        <v>18000</v>
      </c>
      <c r="D1326">
        <v>4500542</v>
      </c>
    </row>
    <row r="1327" spans="1:4" x14ac:dyDescent="0.25">
      <c r="A1327" t="str">
        <f>T("   120720")</f>
        <v xml:space="preserve">   120720</v>
      </c>
      <c r="B1327" t="str">
        <f>T("   GRAINES DE COTON,MEME CONCASSEES")</f>
        <v xml:space="preserve">   GRAINES DE COTON,MEME CONCASSEES</v>
      </c>
      <c r="C1327">
        <v>999600</v>
      </c>
      <c r="D1327">
        <v>104958000</v>
      </c>
    </row>
    <row r="1328" spans="1:4" x14ac:dyDescent="0.25">
      <c r="A1328" t="str">
        <f>T("   720429")</f>
        <v xml:space="preserve">   720429</v>
      </c>
      <c r="B1328" t="str">
        <f>T("   AUTRES")</f>
        <v xml:space="preserve">   AUTRES</v>
      </c>
      <c r="C1328">
        <v>121000</v>
      </c>
      <c r="D1328">
        <v>6050000</v>
      </c>
    </row>
    <row r="1329" spans="1:4" s="1" customFormat="1" x14ac:dyDescent="0.25">
      <c r="A1329" s="1" t="str">
        <f>T("   ZZ_Total_Produit_SH6")</f>
        <v xml:space="preserve">   ZZ_Total_Produit_SH6</v>
      </c>
      <c r="B1329" s="1" t="str">
        <f>T("   ZZ_Total_Produit_SH6")</f>
        <v xml:space="preserve">   ZZ_Total_Produit_SH6</v>
      </c>
      <c r="C1329" s="1">
        <v>1138600</v>
      </c>
      <c r="D1329" s="1">
        <v>115508542</v>
      </c>
    </row>
    <row r="1330" spans="1:4" s="1" customFormat="1" x14ac:dyDescent="0.25">
      <c r="B1330" s="1" t="str">
        <f>T("Soudan")</f>
        <v>Soudan</v>
      </c>
    </row>
    <row r="1331" spans="1:4" x14ac:dyDescent="0.25">
      <c r="A1331" t="str">
        <f>T("   081340")</f>
        <v xml:space="preserve">   081340</v>
      </c>
      <c r="B1331" t="str">
        <f>T("   AUTRES FRUITS")</f>
        <v xml:space="preserve">   AUTRES FRUITS</v>
      </c>
      <c r="C1331">
        <v>95660</v>
      </c>
      <c r="D1331">
        <v>7707600</v>
      </c>
    </row>
    <row r="1332" spans="1:4" x14ac:dyDescent="0.25">
      <c r="A1332" t="str">
        <f>T("   846692")</f>
        <v xml:space="preserve">   846692</v>
      </c>
      <c r="B1332" t="str">
        <f>T("   POUR MACHINES DU N° 84.65")</f>
        <v xml:space="preserve">   POUR MACHINES DU N° 84.65</v>
      </c>
      <c r="C1332">
        <v>15000</v>
      </c>
      <c r="D1332">
        <v>2000000</v>
      </c>
    </row>
    <row r="1333" spans="1:4" s="1" customFormat="1" x14ac:dyDescent="0.25">
      <c r="A1333" s="1" t="str">
        <f>T("   ZZ_Total_Produit_SH6")</f>
        <v xml:space="preserve">   ZZ_Total_Produit_SH6</v>
      </c>
      <c r="B1333" s="1" t="str">
        <f>T("   ZZ_Total_Produit_SH6")</f>
        <v xml:space="preserve">   ZZ_Total_Produit_SH6</v>
      </c>
      <c r="C1333" s="1">
        <v>110660</v>
      </c>
      <c r="D1333" s="1">
        <v>9707600</v>
      </c>
    </row>
    <row r="1334" spans="1:4" s="1" customFormat="1" x14ac:dyDescent="0.25">
      <c r="B1334" s="1" t="str">
        <f>T("Suède")</f>
        <v>Suède</v>
      </c>
    </row>
    <row r="1335" spans="1:4" x14ac:dyDescent="0.25">
      <c r="A1335" t="str">
        <f>T("   380891")</f>
        <v xml:space="preserve">   380891</v>
      </c>
      <c r="B1335" t="str">
        <f>T("   INSECTICIDES")</f>
        <v xml:space="preserve">   INSECTICIDES</v>
      </c>
      <c r="C1335">
        <v>280116</v>
      </c>
      <c r="D1335">
        <v>983940</v>
      </c>
    </row>
    <row r="1336" spans="1:4" x14ac:dyDescent="0.25">
      <c r="A1336" t="str">
        <f>T("   610990")</f>
        <v xml:space="preserve">   610990</v>
      </c>
      <c r="B1336" t="str">
        <f>T("   D'AUTRES MATIERES TEXTILES")</f>
        <v xml:space="preserve">   D'AUTRES MATIERES TEXTILES</v>
      </c>
      <c r="C1336">
        <v>124</v>
      </c>
      <c r="D1336">
        <v>1422000</v>
      </c>
    </row>
    <row r="1337" spans="1:4" x14ac:dyDescent="0.25">
      <c r="A1337" t="str">
        <f>T("   630649")</f>
        <v xml:space="preserve">   630649</v>
      </c>
      <c r="B1337" t="str">
        <f>T("   MATELAS PNEUMATIQUES D'AUTRES MATIERES TEXTILES")</f>
        <v xml:space="preserve">   MATELAS PNEUMATIQUES D'AUTRES MATIERES TEXTILES</v>
      </c>
      <c r="C1337">
        <v>130</v>
      </c>
      <c r="D1337">
        <v>300000</v>
      </c>
    </row>
    <row r="1338" spans="1:4" s="1" customFormat="1" x14ac:dyDescent="0.25">
      <c r="A1338" s="1" t="str">
        <f>T("   ZZ_Total_Produit_SH6")</f>
        <v xml:space="preserve">   ZZ_Total_Produit_SH6</v>
      </c>
      <c r="B1338" s="1" t="str">
        <f>T("   ZZ_Total_Produit_SH6")</f>
        <v xml:space="preserve">   ZZ_Total_Produit_SH6</v>
      </c>
      <c r="C1338" s="1">
        <v>280370</v>
      </c>
      <c r="D1338" s="1">
        <v>2705940</v>
      </c>
    </row>
    <row r="1339" spans="1:4" s="1" customFormat="1" x14ac:dyDescent="0.25">
      <c r="B1339" s="1" t="str">
        <f>T("Singapour")</f>
        <v>Singapour</v>
      </c>
    </row>
    <row r="1340" spans="1:4" x14ac:dyDescent="0.25">
      <c r="A1340" t="str">
        <f>T("   120799")</f>
        <v xml:space="preserve">   120799</v>
      </c>
      <c r="B1340" t="str">
        <f>T("   AUTRES")</f>
        <v xml:space="preserve">   AUTRES</v>
      </c>
      <c r="C1340">
        <v>287150</v>
      </c>
      <c r="D1340">
        <v>5743000</v>
      </c>
    </row>
    <row r="1341" spans="1:4" x14ac:dyDescent="0.25">
      <c r="A1341" t="str">
        <f>T("   440729")</f>
        <v xml:space="preserve">   440729</v>
      </c>
      <c r="B1341" t="str">
        <f>T("   AUTRES")</f>
        <v xml:space="preserve">   AUTRES</v>
      </c>
      <c r="C1341">
        <v>51000</v>
      </c>
      <c r="D1341">
        <v>158536458</v>
      </c>
    </row>
    <row r="1342" spans="1:4" x14ac:dyDescent="0.25">
      <c r="A1342" t="str">
        <f>T("   720429")</f>
        <v xml:space="preserve">   720429</v>
      </c>
      <c r="B1342" t="str">
        <f>T("   AUTRES")</f>
        <v xml:space="preserve">   AUTRES</v>
      </c>
      <c r="C1342">
        <v>786000</v>
      </c>
      <c r="D1342">
        <v>39300000</v>
      </c>
    </row>
    <row r="1343" spans="1:4" x14ac:dyDescent="0.25">
      <c r="A1343" t="str">
        <f>T("   901590")</f>
        <v xml:space="preserve">   901590</v>
      </c>
      <c r="B1343" t="str">
        <f>T("   PARTIES ET ACCESSOIRES")</f>
        <v xml:space="preserve">   PARTIES ET ACCESSOIRES</v>
      </c>
      <c r="C1343">
        <v>711</v>
      </c>
      <c r="D1343">
        <v>2268414</v>
      </c>
    </row>
    <row r="1344" spans="1:4" s="1" customFormat="1" x14ac:dyDescent="0.25">
      <c r="A1344" s="1" t="str">
        <f>T("   ZZ_Total_Produit_SH6")</f>
        <v xml:space="preserve">   ZZ_Total_Produit_SH6</v>
      </c>
      <c r="B1344" s="1" t="str">
        <f>T("   ZZ_Total_Produit_SH6")</f>
        <v xml:space="preserve">   ZZ_Total_Produit_SH6</v>
      </c>
      <c r="C1344" s="1">
        <v>1124861</v>
      </c>
      <c r="D1344" s="1">
        <v>205847872</v>
      </c>
    </row>
    <row r="1345" spans="1:4" s="1" customFormat="1" x14ac:dyDescent="0.25">
      <c r="B1345" s="1" t="str">
        <f>T("Sierra Leone")</f>
        <v>Sierra Leone</v>
      </c>
    </row>
    <row r="1346" spans="1:4" x14ac:dyDescent="0.25">
      <c r="A1346" t="str">
        <f>T("   100630")</f>
        <v xml:space="preserve">   100630</v>
      </c>
      <c r="B1346" t="str">
        <f>T("   RIZ SEMIBLANCHI OU BLANCHI, MEME POLI OU GLACE")</f>
        <v xml:space="preserve">   RIZ SEMIBLANCHI OU BLANCHI, MEME POLI OU GLACE</v>
      </c>
      <c r="C1346">
        <v>4366</v>
      </c>
      <c r="D1346">
        <v>873200000</v>
      </c>
    </row>
    <row r="1347" spans="1:4" x14ac:dyDescent="0.25">
      <c r="A1347" t="str">
        <f>T("   121230")</f>
        <v xml:space="preserve">   121230</v>
      </c>
      <c r="B1347" t="str">
        <f>T("   NOYAUX,AMANDES D'ABRICOTS,PECHES,PRUNES,DESTINES A L'ALIMENTATION HUMAINE")</f>
        <v xml:space="preserve">   NOYAUX,AMANDES D'ABRICOTS,PECHES,PRUNES,DESTINES A L'ALIMENTATION HUMAINE</v>
      </c>
      <c r="C1347">
        <v>180</v>
      </c>
      <c r="D1347">
        <v>19842699</v>
      </c>
    </row>
    <row r="1348" spans="1:4" s="1" customFormat="1" x14ac:dyDescent="0.25">
      <c r="A1348" s="1" t="str">
        <f>T("   ZZ_Total_Produit_SH6")</f>
        <v xml:space="preserve">   ZZ_Total_Produit_SH6</v>
      </c>
      <c r="B1348" s="1" t="str">
        <f>T("   ZZ_Total_Produit_SH6")</f>
        <v xml:space="preserve">   ZZ_Total_Produit_SH6</v>
      </c>
      <c r="C1348" s="1">
        <v>4546</v>
      </c>
      <c r="D1348" s="1">
        <v>893042699</v>
      </c>
    </row>
    <row r="1349" spans="1:4" s="1" customFormat="1" x14ac:dyDescent="0.25">
      <c r="B1349" s="1" t="str">
        <f>T("Sénégal")</f>
        <v>Sénégal</v>
      </c>
    </row>
    <row r="1350" spans="1:4" x14ac:dyDescent="0.25">
      <c r="A1350" t="str">
        <f>T("   070960")</f>
        <v xml:space="preserve">   070960</v>
      </c>
      <c r="B1350" t="str">
        <f>T("   PIMENTS DU GENRE CAPSICUM OU DU GENRE PIMENTA")</f>
        <v xml:space="preserve">   PIMENTS DU GENRE CAPSICUM OU DU GENRE PIMENTA</v>
      </c>
      <c r="C1350">
        <v>6380</v>
      </c>
      <c r="D1350">
        <v>2002000</v>
      </c>
    </row>
    <row r="1351" spans="1:4" x14ac:dyDescent="0.25">
      <c r="A1351" t="str">
        <f>T("   080290")</f>
        <v xml:space="preserve">   080290</v>
      </c>
      <c r="B1351" t="str">
        <f>T("   AUTRES")</f>
        <v xml:space="preserve">   AUTRES</v>
      </c>
      <c r="C1351">
        <v>3150</v>
      </c>
      <c r="D1351">
        <v>1154625</v>
      </c>
    </row>
    <row r="1352" spans="1:4" x14ac:dyDescent="0.25">
      <c r="A1352" t="str">
        <f>T("   110620")</f>
        <v xml:space="preserve">   110620</v>
      </c>
      <c r="B1352" t="str">
        <f>T("   DE SAGOU OU DES RACINES OU TUBERCULES DU N° 07.14")</f>
        <v xml:space="preserve">   DE SAGOU OU DES RACINES OU TUBERCULES DU N° 07.14</v>
      </c>
      <c r="C1352">
        <v>13150</v>
      </c>
      <c r="D1352">
        <v>3287500</v>
      </c>
    </row>
    <row r="1353" spans="1:4" x14ac:dyDescent="0.25">
      <c r="A1353" t="str">
        <f>T("   151190")</f>
        <v xml:space="preserve">   151190</v>
      </c>
      <c r="B1353" t="str">
        <f>T("   AUTRES")</f>
        <v xml:space="preserve">   AUTRES</v>
      </c>
      <c r="C1353">
        <v>300</v>
      </c>
      <c r="D1353">
        <v>900000</v>
      </c>
    </row>
    <row r="1354" spans="1:4" x14ac:dyDescent="0.25">
      <c r="A1354" t="str">
        <f>T("   200941")</f>
        <v xml:space="preserve">   200941</v>
      </c>
      <c r="B1354" t="str">
        <f>T("   D’UNE VALEUR BRIX N’EXCEDANT PAS 20")</f>
        <v xml:space="preserve">   D’UNE VALEUR BRIX N’EXCEDANT PAS 20</v>
      </c>
      <c r="C1354">
        <v>103350</v>
      </c>
      <c r="D1354">
        <v>21510600</v>
      </c>
    </row>
    <row r="1355" spans="1:4" x14ac:dyDescent="0.25">
      <c r="A1355" t="str">
        <f>T("   200949")</f>
        <v xml:space="preserve">   200949</v>
      </c>
      <c r="B1355" t="str">
        <f>T("   AUTRES")</f>
        <v xml:space="preserve">   AUTRES</v>
      </c>
      <c r="C1355">
        <v>38510</v>
      </c>
      <c r="D1355">
        <v>6097000</v>
      </c>
    </row>
    <row r="1356" spans="1:4" x14ac:dyDescent="0.25">
      <c r="A1356" t="str">
        <f>T("   391740")</f>
        <v xml:space="preserve">   391740</v>
      </c>
      <c r="B1356" t="str">
        <f>T("   ACCESSOIRES")</f>
        <v xml:space="preserve">   ACCESSOIRES</v>
      </c>
      <c r="C1356">
        <v>5730</v>
      </c>
      <c r="D1356">
        <v>2000000</v>
      </c>
    </row>
    <row r="1357" spans="1:4" x14ac:dyDescent="0.25">
      <c r="A1357" t="str">
        <f>T("   481910")</f>
        <v xml:space="preserve">   481910</v>
      </c>
      <c r="B1357" t="str">
        <f>T("   BOITES ET CAISSES EN PAPIER OU CARTON ONDULE")</f>
        <v xml:space="preserve">   BOITES ET CAISSES EN PAPIER OU CARTON ONDULE</v>
      </c>
      <c r="C1357">
        <v>4176</v>
      </c>
      <c r="D1357">
        <v>2376952</v>
      </c>
    </row>
    <row r="1358" spans="1:4" x14ac:dyDescent="0.25">
      <c r="A1358" t="str">
        <f>T("   482010")</f>
        <v xml:space="preserve">   482010</v>
      </c>
      <c r="B1358" t="str">
        <f>T("   REGISTRES, LIVRES COMPTABLES, CARNETS (DE NOTES, DE COMMANDES, DE QUITTANCES), BLOCS")</f>
        <v xml:space="preserve">   REGISTRES, LIVRES COMPTABLES, CARNETS (DE NOTES, DE COMMANDES, DE QUITTANCES), BLOCS</v>
      </c>
      <c r="C1358">
        <v>560</v>
      </c>
      <c r="D1358">
        <v>799550</v>
      </c>
    </row>
    <row r="1359" spans="1:4" x14ac:dyDescent="0.25">
      <c r="A1359" t="str">
        <f>T("   490199")</f>
        <v xml:space="preserve">   490199</v>
      </c>
      <c r="B1359" t="str">
        <f>T("   AUTRES")</f>
        <v xml:space="preserve">   AUTRES</v>
      </c>
      <c r="C1359">
        <v>950</v>
      </c>
      <c r="D1359">
        <v>824400</v>
      </c>
    </row>
    <row r="1360" spans="1:4" x14ac:dyDescent="0.25">
      <c r="A1360" t="str">
        <f>T("   491000")</f>
        <v xml:space="preserve">   491000</v>
      </c>
      <c r="B1360" t="str">
        <f>T("   CALENDRIERS DE TOUS GENRES, IMPRIMES, Y COMPRIS LES BLOCS DE CALENDRIERS A EFFEUILLER.")</f>
        <v xml:space="preserve">   CALENDRIERS DE TOUS GENRES, IMPRIMES, Y COMPRIS LES BLOCS DE CALENDRIERS A EFFEUILLER.</v>
      </c>
      <c r="C1360">
        <v>350</v>
      </c>
      <c r="D1360">
        <v>900000</v>
      </c>
    </row>
    <row r="1361" spans="1:4" x14ac:dyDescent="0.25">
      <c r="A1361" t="str">
        <f>T("   570500")</f>
        <v xml:space="preserve">   570500</v>
      </c>
      <c r="B1361" t="str">
        <f>T("   AUTRES TAPIS ET REVETEMENTS DE SOL EN MATIERES TEXTILES, MEME CONFECTIONNES.")</f>
        <v xml:space="preserve">   AUTRES TAPIS ET REVETEMENTS DE SOL EN MATIERES TEXTILES, MEME CONFECTIONNES.</v>
      </c>
      <c r="C1361">
        <v>80</v>
      </c>
      <c r="D1361">
        <v>25000</v>
      </c>
    </row>
    <row r="1362" spans="1:4" x14ac:dyDescent="0.25">
      <c r="A1362" t="str">
        <f>T("   610990")</f>
        <v xml:space="preserve">   610990</v>
      </c>
      <c r="B1362" t="str">
        <f>T("   D'AUTRES MATIERES TEXTILES")</f>
        <v xml:space="preserve">   D'AUTRES MATIERES TEXTILES</v>
      </c>
      <c r="C1362">
        <v>310</v>
      </c>
      <c r="D1362">
        <v>1250000</v>
      </c>
    </row>
    <row r="1363" spans="1:4" x14ac:dyDescent="0.25">
      <c r="A1363" t="str">
        <f>T("   620590")</f>
        <v xml:space="preserve">   620590</v>
      </c>
      <c r="B1363" t="str">
        <f>T("   D'AUTRES MATIERES TEXTILES")</f>
        <v xml:space="preserve">   D'AUTRES MATIERES TEXTILES</v>
      </c>
      <c r="C1363">
        <v>4900</v>
      </c>
      <c r="D1363">
        <v>4100000</v>
      </c>
    </row>
    <row r="1364" spans="1:4" x14ac:dyDescent="0.25">
      <c r="A1364" t="str">
        <f>T("   621040")</f>
        <v xml:space="preserve">   621040</v>
      </c>
      <c r="B1364" t="str">
        <f>T("   AUTRES VETEMENTS POUR HOMMES OU GARCONNETS")</f>
        <v xml:space="preserve">   AUTRES VETEMENTS POUR HOMMES OU GARCONNETS</v>
      </c>
      <c r="C1364">
        <v>3800</v>
      </c>
      <c r="D1364">
        <v>18685000</v>
      </c>
    </row>
    <row r="1365" spans="1:4" x14ac:dyDescent="0.25">
      <c r="A1365" t="str">
        <f>T("   691200")</f>
        <v xml:space="preserve">   691200</v>
      </c>
      <c r="B1365" t="str">
        <f>T("   VAISSELLE, AUTRES ARTICLES DE MENAGE OU D'ECONOMIE DOMESTIQUE ET ARTICLES D'HYGIENE OU")</f>
        <v xml:space="preserve">   VAISSELLE, AUTRES ARTICLES DE MENAGE OU D'ECONOMIE DOMESTIQUE ET ARTICLES D'HYGIENE OU</v>
      </c>
      <c r="C1365">
        <v>427</v>
      </c>
      <c r="D1365">
        <v>1100000</v>
      </c>
    </row>
    <row r="1366" spans="1:4" x14ac:dyDescent="0.25">
      <c r="A1366" t="str">
        <f>T("   731021")</f>
        <v xml:space="preserve">   731021</v>
      </c>
      <c r="B1366" t="str">
        <f>T("   BOITES A FERMER PAR SOUDAGE OU SERTISSAGE")</f>
        <v xml:space="preserve">   BOITES A FERMER PAR SOUDAGE OU SERTISSAGE</v>
      </c>
      <c r="C1366">
        <v>15969</v>
      </c>
      <c r="D1366">
        <v>8848475</v>
      </c>
    </row>
    <row r="1367" spans="1:4" x14ac:dyDescent="0.25">
      <c r="A1367" t="str">
        <f>T("   732394")</f>
        <v xml:space="preserve">   732394</v>
      </c>
      <c r="B1367" t="str">
        <f>T("   EN FER OU EN ACIER, EMAILLES")</f>
        <v xml:space="preserve">   EN FER OU EN ACIER, EMAILLES</v>
      </c>
      <c r="C1367">
        <v>2450</v>
      </c>
      <c r="D1367">
        <v>1600000</v>
      </c>
    </row>
    <row r="1368" spans="1:4" x14ac:dyDescent="0.25">
      <c r="A1368" t="str">
        <f>T("   820760")</f>
        <v xml:space="preserve">   820760</v>
      </c>
      <c r="B1368" t="str">
        <f>T("   OUTILS A ALESER OU A BROCHER")</f>
        <v xml:space="preserve">   OUTILS A ALESER OU A BROCHER</v>
      </c>
      <c r="C1368">
        <v>280</v>
      </c>
      <c r="D1368">
        <v>6051231</v>
      </c>
    </row>
    <row r="1369" spans="1:4" x14ac:dyDescent="0.25">
      <c r="A1369" t="str">
        <f>T("   847190")</f>
        <v xml:space="preserve">   847190</v>
      </c>
      <c r="B1369" t="str">
        <f>T("   AUTRES")</f>
        <v xml:space="preserve">   AUTRES</v>
      </c>
      <c r="C1369">
        <v>27</v>
      </c>
      <c r="D1369">
        <v>5000</v>
      </c>
    </row>
    <row r="1370" spans="1:4" x14ac:dyDescent="0.25">
      <c r="A1370" t="str">
        <f>T("   852849")</f>
        <v xml:space="preserve">   852849</v>
      </c>
      <c r="B1370" t="str">
        <f>T("   AUTRES")</f>
        <v xml:space="preserve">   AUTRES</v>
      </c>
      <c r="C1370">
        <v>20</v>
      </c>
      <c r="D1370">
        <v>50000</v>
      </c>
    </row>
    <row r="1371" spans="1:4" x14ac:dyDescent="0.25">
      <c r="A1371" t="str">
        <f>T("   870210")</f>
        <v xml:space="preserve">   870210</v>
      </c>
      <c r="B1371" t="str">
        <f>T("   A MOTEUR A PISTON A ALLUMAGE PAR COMPRESSION (DIESEL OU SEMIDIESEL)")</f>
        <v xml:space="preserve">   A MOTEUR A PISTON A ALLUMAGE PAR COMPRESSION (DIESEL OU SEMIDIESEL)</v>
      </c>
      <c r="C1371">
        <v>2550</v>
      </c>
      <c r="D1371">
        <v>4042845</v>
      </c>
    </row>
    <row r="1372" spans="1:4" x14ac:dyDescent="0.25">
      <c r="A1372" t="str">
        <f>T("   870323")</f>
        <v xml:space="preserve">   870323</v>
      </c>
      <c r="B1372" t="str">
        <f>T("   D’UNE CYLINDREE EXCEDANT 1.500 CM³ MAIS N’EXCEDANT PAS 3.000 CM³")</f>
        <v xml:space="preserve">   D’UNE CYLINDREE EXCEDANT 1.500 CM³ MAIS N’EXCEDANT PAS 3.000 CM³</v>
      </c>
      <c r="C1372">
        <v>3450</v>
      </c>
      <c r="D1372">
        <v>18022412</v>
      </c>
    </row>
    <row r="1373" spans="1:4" x14ac:dyDescent="0.25">
      <c r="A1373" t="str">
        <f>T("   870324")</f>
        <v xml:space="preserve">   870324</v>
      </c>
      <c r="B1373" t="str">
        <f>T("   D’UNE CYLINDREE EXCEDANT 3.000 CM³")</f>
        <v xml:space="preserve">   D’UNE CYLINDREE EXCEDANT 3.000 CM³</v>
      </c>
      <c r="C1373">
        <v>10198</v>
      </c>
      <c r="D1373">
        <v>22000000</v>
      </c>
    </row>
    <row r="1374" spans="1:4" x14ac:dyDescent="0.25">
      <c r="A1374" t="str">
        <f>T("   940161")</f>
        <v xml:space="preserve">   940161</v>
      </c>
      <c r="B1374" t="str">
        <f>T("   REMBOURRES")</f>
        <v xml:space="preserve">   REMBOURRES</v>
      </c>
      <c r="C1374">
        <v>105</v>
      </c>
      <c r="D1374">
        <v>150000</v>
      </c>
    </row>
    <row r="1375" spans="1:4" x14ac:dyDescent="0.25">
      <c r="A1375" t="str">
        <f>T("   940350")</f>
        <v xml:space="preserve">   940350</v>
      </c>
      <c r="B1375" t="str">
        <f>T("   MEUBLES EN BOIS DES TYPES UTILISES DANS LES CHAMBRES A COUCHER")</f>
        <v xml:space="preserve">   MEUBLES EN BOIS DES TYPES UTILISES DANS LES CHAMBRES A COUCHER</v>
      </c>
      <c r="C1375">
        <v>11635</v>
      </c>
      <c r="D1375">
        <v>8225000</v>
      </c>
    </row>
    <row r="1376" spans="1:4" x14ac:dyDescent="0.25">
      <c r="A1376" t="str">
        <f>T("   940360")</f>
        <v xml:space="preserve">   940360</v>
      </c>
      <c r="B1376" t="str">
        <f>T("   Autres meubles en bois")</f>
        <v xml:space="preserve">   Autres meubles en bois</v>
      </c>
      <c r="C1376">
        <v>3110</v>
      </c>
      <c r="D1376">
        <v>2380000</v>
      </c>
    </row>
    <row r="1377" spans="1:4" x14ac:dyDescent="0.25">
      <c r="A1377" t="str">
        <f>T("   940389")</f>
        <v xml:space="preserve">   940389</v>
      </c>
      <c r="B1377" t="str">
        <f>T("   AUTRES")</f>
        <v xml:space="preserve">   AUTRES</v>
      </c>
      <c r="C1377">
        <v>10000</v>
      </c>
      <c r="D1377">
        <v>500000</v>
      </c>
    </row>
    <row r="1378" spans="1:4" x14ac:dyDescent="0.25">
      <c r="A1378" t="str">
        <f>T("   940390")</f>
        <v xml:space="preserve">   940390</v>
      </c>
      <c r="B1378" t="str">
        <f>T("   PARTIES")</f>
        <v xml:space="preserve">   PARTIES</v>
      </c>
      <c r="C1378">
        <v>2000</v>
      </c>
      <c r="D1378">
        <v>2000000</v>
      </c>
    </row>
    <row r="1379" spans="1:4" x14ac:dyDescent="0.25">
      <c r="A1379" t="str">
        <f>T("   940410")</f>
        <v xml:space="preserve">   940410</v>
      </c>
      <c r="B1379" t="str">
        <f>T("   Sommiers")</f>
        <v xml:space="preserve">   Sommiers</v>
      </c>
      <c r="C1379">
        <v>70</v>
      </c>
      <c r="D1379">
        <v>40000</v>
      </c>
    </row>
    <row r="1380" spans="1:4" x14ac:dyDescent="0.25">
      <c r="A1380" t="str">
        <f>T("   940429")</f>
        <v xml:space="preserve">   940429</v>
      </c>
      <c r="B1380" t="str">
        <f>T("   EN AUTRES MATIERES")</f>
        <v xml:space="preserve">   EN AUTRES MATIERES</v>
      </c>
      <c r="C1380">
        <v>25</v>
      </c>
      <c r="D1380">
        <v>25000</v>
      </c>
    </row>
    <row r="1381" spans="1:4" x14ac:dyDescent="0.25">
      <c r="A1381" t="str">
        <f>T("   970190")</f>
        <v xml:space="preserve">   970190</v>
      </c>
      <c r="B1381" t="str">
        <f>T("   AUTRES")</f>
        <v xml:space="preserve">   AUTRES</v>
      </c>
      <c r="C1381">
        <v>4200</v>
      </c>
      <c r="D1381">
        <v>50000000</v>
      </c>
    </row>
    <row r="1382" spans="1:4" s="1" customFormat="1" x14ac:dyDescent="0.25">
      <c r="A1382" s="1" t="str">
        <f>T("   ZZ_Total_Produit_SH6")</f>
        <v xml:space="preserve">   ZZ_Total_Produit_SH6</v>
      </c>
      <c r="B1382" s="1" t="str">
        <f>T("   ZZ_Total_Produit_SH6")</f>
        <v xml:space="preserve">   ZZ_Total_Produit_SH6</v>
      </c>
      <c r="C1382" s="1">
        <v>252212</v>
      </c>
      <c r="D1382" s="1">
        <v>190952590</v>
      </c>
    </row>
    <row r="1383" spans="1:4" s="1" customFormat="1" x14ac:dyDescent="0.25">
      <c r="B1383" s="1" t="str">
        <f>T("El Salvador")</f>
        <v>El Salvador</v>
      </c>
    </row>
    <row r="1384" spans="1:4" x14ac:dyDescent="0.25">
      <c r="A1384" t="str">
        <f>T("   970110")</f>
        <v xml:space="preserve">   970110</v>
      </c>
      <c r="B1384" t="str">
        <f>T("   TABLEAUX, PEINTURES ET DESSINS")</f>
        <v xml:space="preserve">   TABLEAUX, PEINTURES ET DESSINS</v>
      </c>
      <c r="C1384">
        <v>142</v>
      </c>
      <c r="D1384">
        <v>1364397</v>
      </c>
    </row>
    <row r="1385" spans="1:4" s="1" customFormat="1" x14ac:dyDescent="0.25">
      <c r="A1385" s="1" t="str">
        <f>T("   ZZ_Total_Produit_SH6")</f>
        <v xml:space="preserve">   ZZ_Total_Produit_SH6</v>
      </c>
      <c r="B1385" s="1" t="str">
        <f>T("   ZZ_Total_Produit_SH6")</f>
        <v xml:space="preserve">   ZZ_Total_Produit_SH6</v>
      </c>
      <c r="C1385" s="1">
        <v>142</v>
      </c>
      <c r="D1385" s="1">
        <v>1364397</v>
      </c>
    </row>
    <row r="1386" spans="1:4" s="1" customFormat="1" x14ac:dyDescent="0.25">
      <c r="B1386" s="1" t="str">
        <f>T("Swaziland")</f>
        <v>Swaziland</v>
      </c>
    </row>
    <row r="1387" spans="1:4" x14ac:dyDescent="0.25">
      <c r="A1387" t="str">
        <f>T("   853710")</f>
        <v xml:space="preserve">   853710</v>
      </c>
      <c r="B1387" t="str">
        <f>T("   POUR UNE TENSION N'EXCEDANT PAS 1.000 V")</f>
        <v xml:space="preserve">   POUR UNE TENSION N'EXCEDANT PAS 1.000 V</v>
      </c>
      <c r="C1387">
        <v>93</v>
      </c>
      <c r="D1387">
        <v>5597347</v>
      </c>
    </row>
    <row r="1388" spans="1:4" s="1" customFormat="1" x14ac:dyDescent="0.25">
      <c r="A1388" s="1" t="str">
        <f>T("   ZZ_Total_Produit_SH6")</f>
        <v xml:space="preserve">   ZZ_Total_Produit_SH6</v>
      </c>
      <c r="B1388" s="1" t="str">
        <f>T("   ZZ_Total_Produit_SH6")</f>
        <v xml:space="preserve">   ZZ_Total_Produit_SH6</v>
      </c>
      <c r="C1388" s="1">
        <v>93</v>
      </c>
      <c r="D1388" s="1">
        <v>5597347</v>
      </c>
    </row>
    <row r="1389" spans="1:4" s="1" customFormat="1" x14ac:dyDescent="0.25">
      <c r="B1389" s="1" t="str">
        <f>T("Tchad")</f>
        <v>Tchad</v>
      </c>
    </row>
    <row r="1390" spans="1:4" x14ac:dyDescent="0.25">
      <c r="A1390" t="str">
        <f>T("   200941")</f>
        <v xml:space="preserve">   200941</v>
      </c>
      <c r="B1390" t="str">
        <f>T("   D’UNE VALEUR BRIX N’EXCEDANT PAS 20")</f>
        <v xml:space="preserve">   D’UNE VALEUR BRIX N’EXCEDANT PAS 20</v>
      </c>
      <c r="C1390">
        <v>18837</v>
      </c>
      <c r="D1390">
        <v>6000000</v>
      </c>
    </row>
    <row r="1391" spans="1:4" x14ac:dyDescent="0.25">
      <c r="A1391" t="str">
        <f>T("   252020")</f>
        <v xml:space="preserve">   252020</v>
      </c>
      <c r="B1391" t="str">
        <f>T("   PLATRES")</f>
        <v xml:space="preserve">   PLATRES</v>
      </c>
      <c r="C1391">
        <v>113000</v>
      </c>
      <c r="D1391">
        <v>13560000</v>
      </c>
    </row>
    <row r="1392" spans="1:4" x14ac:dyDescent="0.25">
      <c r="A1392" t="str">
        <f>T("   320890")</f>
        <v xml:space="preserve">   320890</v>
      </c>
      <c r="B1392" t="str">
        <f>T("   AUTRES")</f>
        <v xml:space="preserve">   AUTRES</v>
      </c>
      <c r="C1392">
        <v>2750</v>
      </c>
      <c r="D1392">
        <v>12551810</v>
      </c>
    </row>
    <row r="1393" spans="1:4" x14ac:dyDescent="0.25">
      <c r="A1393" t="str">
        <f>T("   330499")</f>
        <v xml:space="preserve">   330499</v>
      </c>
      <c r="B1393" t="str">
        <f>T("   AUTRES")</f>
        <v xml:space="preserve">   AUTRES</v>
      </c>
      <c r="C1393">
        <v>21500</v>
      </c>
      <c r="D1393">
        <v>8395000</v>
      </c>
    </row>
    <row r="1394" spans="1:4" x14ac:dyDescent="0.25">
      <c r="A1394" t="str">
        <f>T("   391721")</f>
        <v xml:space="preserve">   391721</v>
      </c>
      <c r="B1394" t="str">
        <f>T("   EN POLYMERES DE L'ETHYLENE")</f>
        <v xml:space="preserve">   EN POLYMERES DE L'ETHYLENE</v>
      </c>
      <c r="C1394">
        <v>49095</v>
      </c>
      <c r="D1394">
        <v>101596330</v>
      </c>
    </row>
    <row r="1395" spans="1:4" x14ac:dyDescent="0.25">
      <c r="A1395" t="str">
        <f>T("   391723")</f>
        <v xml:space="preserve">   391723</v>
      </c>
      <c r="B1395" t="str">
        <f>T("   EN POLYMERES DU CHLORURE DE VINYLE")</f>
        <v xml:space="preserve">   EN POLYMERES DU CHLORURE DE VINYLE</v>
      </c>
      <c r="C1395">
        <v>31420</v>
      </c>
      <c r="D1395">
        <v>355313200</v>
      </c>
    </row>
    <row r="1396" spans="1:4" x14ac:dyDescent="0.25">
      <c r="A1396" t="str">
        <f>T("   391729")</f>
        <v xml:space="preserve">   391729</v>
      </c>
      <c r="B1396" t="str">
        <f>T("   EN AUTRES MATIERES PLASTIQUES")</f>
        <v xml:space="preserve">   EN AUTRES MATIERES PLASTIQUES</v>
      </c>
      <c r="C1396">
        <v>123670</v>
      </c>
      <c r="D1396">
        <v>262778386</v>
      </c>
    </row>
    <row r="1397" spans="1:4" x14ac:dyDescent="0.25">
      <c r="A1397" t="str">
        <f>T("   481910")</f>
        <v xml:space="preserve">   481910</v>
      </c>
      <c r="B1397" t="str">
        <f>T("   BOITES ET CAISSES EN PAPIER OU CARTON ONDULE")</f>
        <v xml:space="preserve">   BOITES ET CAISSES EN PAPIER OU CARTON ONDULE</v>
      </c>
      <c r="C1397">
        <v>1983</v>
      </c>
      <c r="D1397">
        <v>426941</v>
      </c>
    </row>
    <row r="1398" spans="1:4" x14ac:dyDescent="0.25">
      <c r="A1398" t="str">
        <f>T("   720836")</f>
        <v xml:space="preserve">   720836</v>
      </c>
      <c r="B1398" t="str">
        <f>T("   D'UNE EPAISSEUR EXCEDANT 10 MM")</f>
        <v xml:space="preserve">   D'UNE EPAISSEUR EXCEDANT 10 MM</v>
      </c>
      <c r="C1398">
        <v>1753000</v>
      </c>
      <c r="D1398">
        <v>644917108</v>
      </c>
    </row>
    <row r="1399" spans="1:4" x14ac:dyDescent="0.25">
      <c r="A1399" t="str">
        <f>T("   720839")</f>
        <v xml:space="preserve">   720839</v>
      </c>
      <c r="B1399" t="str">
        <f>T("   D'UNE EPAISSEUR INFERIEURE A 3 MM")</f>
        <v xml:space="preserve">   D'UNE EPAISSEUR INFERIEURE A 3 MM</v>
      </c>
      <c r="C1399">
        <v>50000</v>
      </c>
      <c r="D1399">
        <v>16840547</v>
      </c>
    </row>
    <row r="1400" spans="1:4" x14ac:dyDescent="0.25">
      <c r="A1400" t="str">
        <f>T("   720916")</f>
        <v xml:space="preserve">   720916</v>
      </c>
      <c r="B1400" t="str">
        <f>T("   D'UNE EPAISSEUR EXCEDANT 1 MM MAIS INFERIEURE A 3 MM")</f>
        <v xml:space="preserve">   D'UNE EPAISSEUR EXCEDANT 1 MM MAIS INFERIEURE A 3 MM</v>
      </c>
      <c r="C1400">
        <v>99000</v>
      </c>
      <c r="D1400">
        <v>30300350</v>
      </c>
    </row>
    <row r="1401" spans="1:4" x14ac:dyDescent="0.25">
      <c r="A1401" t="str">
        <f>T("   720917")</f>
        <v xml:space="preserve">   720917</v>
      </c>
      <c r="B1401" t="str">
        <f>T("   D'UNE EPAISSEUR DE 0,5 MM OU PLUS MAIS N'EXCEDANT PAS 1 MM")</f>
        <v xml:space="preserve">   D'UNE EPAISSEUR DE 0,5 MM OU PLUS MAIS N'EXCEDANT PAS 1 MM</v>
      </c>
      <c r="C1401">
        <v>386000</v>
      </c>
      <c r="D1401">
        <v>131693476</v>
      </c>
    </row>
    <row r="1402" spans="1:4" x14ac:dyDescent="0.25">
      <c r="A1402" t="str">
        <f>T("   720918")</f>
        <v xml:space="preserve">   720918</v>
      </c>
      <c r="B1402" t="str">
        <f>T("   D'UNE EPAISSEUR INFERIEURE A 0,5 MM")</f>
        <v xml:space="preserve">   D'UNE EPAISSEUR INFERIEURE A 0,5 MM</v>
      </c>
      <c r="C1402">
        <v>25000</v>
      </c>
      <c r="D1402">
        <v>10138654</v>
      </c>
    </row>
    <row r="1403" spans="1:4" x14ac:dyDescent="0.25">
      <c r="A1403" t="str">
        <f>T("   720990")</f>
        <v xml:space="preserve">   720990</v>
      </c>
      <c r="B1403" t="str">
        <f>T("   AUTRES")</f>
        <v xml:space="preserve">   AUTRES</v>
      </c>
      <c r="C1403">
        <v>233073</v>
      </c>
      <c r="D1403">
        <v>60568222</v>
      </c>
    </row>
    <row r="1404" spans="1:4" x14ac:dyDescent="0.25">
      <c r="A1404" t="str">
        <f>T("   721011")</f>
        <v xml:space="preserve">   721011</v>
      </c>
      <c r="B1404" t="str">
        <f>T("   D'UNE EPAISSEUR DE 0,5 MM OU PLUS")</f>
        <v xml:space="preserve">   D'UNE EPAISSEUR DE 0,5 MM OU PLUS</v>
      </c>
      <c r="C1404">
        <v>150000</v>
      </c>
      <c r="D1404">
        <v>59146323</v>
      </c>
    </row>
    <row r="1405" spans="1:4" x14ac:dyDescent="0.25">
      <c r="A1405" t="str">
        <f>T("   721391")</f>
        <v xml:space="preserve">   721391</v>
      </c>
      <c r="B1405" t="str">
        <f>T("   DE SECTION CIRCULAIRE D'UN DIAMETRE INFERIEUR A 14 MM")</f>
        <v xml:space="preserve">   DE SECTION CIRCULAIRE D'UN DIAMETRE INFERIEUR A 14 MM</v>
      </c>
      <c r="C1405">
        <v>10067000</v>
      </c>
      <c r="D1405">
        <v>2888440146</v>
      </c>
    </row>
    <row r="1406" spans="1:4" x14ac:dyDescent="0.25">
      <c r="A1406" t="str">
        <f>T("   721399")</f>
        <v xml:space="preserve">   721399</v>
      </c>
      <c r="B1406" t="str">
        <f>T("   AUTRES")</f>
        <v xml:space="preserve">   AUTRES</v>
      </c>
      <c r="C1406">
        <v>3050000</v>
      </c>
      <c r="D1406">
        <v>1003836972</v>
      </c>
    </row>
    <row r="1407" spans="1:4" x14ac:dyDescent="0.25">
      <c r="A1407" t="str">
        <f>T("   721420")</f>
        <v xml:space="preserve">   721420</v>
      </c>
      <c r="B1407" t="str">
        <f>T("   COMPORTANT DES INDENTATIONS, BOURRELETS, CREUX OU RELIEFS OBTENUS AU COURS DU LAMINAG")</f>
        <v xml:space="preserve">   COMPORTANT DES INDENTATIONS, BOURRELETS, CREUX OU RELIEFS OBTENUS AU COURS DU LAMINAG</v>
      </c>
      <c r="C1407">
        <v>12080000</v>
      </c>
      <c r="D1407">
        <v>4408054663</v>
      </c>
    </row>
    <row r="1408" spans="1:4" x14ac:dyDescent="0.25">
      <c r="A1408" t="str">
        <f>T("   721631")</f>
        <v xml:space="preserve">   721631</v>
      </c>
      <c r="B1408" t="str">
        <f>T("   PROFILES EN U")</f>
        <v xml:space="preserve">   PROFILES EN U</v>
      </c>
      <c r="C1408">
        <v>181000</v>
      </c>
      <c r="D1408">
        <v>82867982</v>
      </c>
    </row>
    <row r="1409" spans="1:4" x14ac:dyDescent="0.25">
      <c r="A1409" t="str">
        <f>T("   721632")</f>
        <v xml:space="preserve">   721632</v>
      </c>
      <c r="B1409" t="str">
        <f>T("   PROFILES EN I")</f>
        <v xml:space="preserve">   PROFILES EN I</v>
      </c>
      <c r="C1409">
        <v>100000</v>
      </c>
      <c r="D1409">
        <v>59380748</v>
      </c>
    </row>
    <row r="1410" spans="1:4" x14ac:dyDescent="0.25">
      <c r="A1410" t="str">
        <f>T("   721633")</f>
        <v xml:space="preserve">   721633</v>
      </c>
      <c r="B1410" t="str">
        <f>T("   PROFILES EN H")</f>
        <v xml:space="preserve">   PROFILES EN H</v>
      </c>
      <c r="C1410">
        <v>391000</v>
      </c>
      <c r="D1410">
        <v>186266305</v>
      </c>
    </row>
    <row r="1411" spans="1:4" x14ac:dyDescent="0.25">
      <c r="A1411" t="str">
        <f>T("   721661")</f>
        <v xml:space="preserve">   721661</v>
      </c>
      <c r="B1411" t="str">
        <f>T("   OBTENUS A PARTIR DE PRODUITS LAMINES PLATS")</f>
        <v xml:space="preserve">   OBTENUS A PARTIR DE PRODUITS LAMINES PLATS</v>
      </c>
      <c r="C1411">
        <v>85000</v>
      </c>
      <c r="D1411">
        <v>44803514</v>
      </c>
    </row>
    <row r="1412" spans="1:4" x14ac:dyDescent="0.25">
      <c r="A1412" t="str">
        <f>T("   721669")</f>
        <v xml:space="preserve">   721669</v>
      </c>
      <c r="B1412" t="str">
        <f>T("   AUTRES")</f>
        <v xml:space="preserve">   AUTRES</v>
      </c>
      <c r="C1412">
        <v>577073</v>
      </c>
      <c r="D1412">
        <v>255256404</v>
      </c>
    </row>
    <row r="1413" spans="1:4" x14ac:dyDescent="0.25">
      <c r="A1413" t="str">
        <f>T("   721790")</f>
        <v xml:space="preserve">   721790</v>
      </c>
      <c r="B1413" t="str">
        <f>T("   AUTRES")</f>
        <v xml:space="preserve">   AUTRES</v>
      </c>
      <c r="C1413">
        <v>12000</v>
      </c>
      <c r="D1413">
        <v>5750000</v>
      </c>
    </row>
    <row r="1414" spans="1:4" x14ac:dyDescent="0.25">
      <c r="A1414" t="str">
        <f>T("   730840")</f>
        <v xml:space="preserve">   730840</v>
      </c>
      <c r="B1414" t="str">
        <f>T("   MATERIEL D'ECHAFAUDAGE, DE COFFRAGE, D'ETANCONNEMENT OU D'ETAYAGE")</f>
        <v xml:space="preserve">   MATERIEL D'ECHAFAUDAGE, DE COFFRAGE, D'ETANCONNEMENT OU D'ETAYAGE</v>
      </c>
      <c r="C1414">
        <v>105335</v>
      </c>
      <c r="D1414">
        <v>26228663</v>
      </c>
    </row>
    <row r="1415" spans="1:4" x14ac:dyDescent="0.25">
      <c r="A1415" t="str">
        <f>T("   731021")</f>
        <v xml:space="preserve">   731021</v>
      </c>
      <c r="B1415" t="str">
        <f>T("   BOITES A FERMER PAR SOUDAGE OU SERTISSAGE")</f>
        <v xml:space="preserve">   BOITES A FERMER PAR SOUDAGE OU SERTISSAGE</v>
      </c>
      <c r="C1415">
        <v>6708</v>
      </c>
      <c r="D1415">
        <v>2375254</v>
      </c>
    </row>
    <row r="1416" spans="1:4" x14ac:dyDescent="0.25">
      <c r="A1416" t="str">
        <f>T("   731700")</f>
        <v xml:space="preserve">   731700</v>
      </c>
      <c r="B1416" t="str">
        <f>T("   POINTES, CLOUS, PUNAISES, CRAMPONS APPOINTES, AGRAFES ONDULEES OU BISEAUTEES ET ARTICLE")</f>
        <v xml:space="preserve">   POINTES, CLOUS, PUNAISES, CRAMPONS APPOINTES, AGRAFES ONDULEES OU BISEAUTEES ET ARTICLE</v>
      </c>
      <c r="C1416">
        <v>837000</v>
      </c>
      <c r="D1416">
        <v>439088720</v>
      </c>
    </row>
    <row r="1417" spans="1:4" x14ac:dyDescent="0.25">
      <c r="A1417" t="str">
        <f>T("   761090")</f>
        <v xml:space="preserve">   761090</v>
      </c>
      <c r="B1417" t="str">
        <f>T("   AUTRES")</f>
        <v xml:space="preserve">   AUTRES</v>
      </c>
      <c r="C1417">
        <v>56134</v>
      </c>
      <c r="D1417">
        <v>16651634</v>
      </c>
    </row>
    <row r="1418" spans="1:4" x14ac:dyDescent="0.25">
      <c r="A1418" t="str">
        <f>T("   830241")</f>
        <v xml:space="preserve">   830241</v>
      </c>
      <c r="B1418" t="str">
        <f>T("   POUR BATIMENTS")</f>
        <v xml:space="preserve">   POUR BATIMENTS</v>
      </c>
      <c r="C1418">
        <v>71225</v>
      </c>
      <c r="D1418">
        <v>22501414</v>
      </c>
    </row>
    <row r="1419" spans="1:4" x14ac:dyDescent="0.25">
      <c r="A1419" t="str">
        <f>T("   848180")</f>
        <v xml:space="preserve">   848180</v>
      </c>
      <c r="B1419" t="str">
        <f>T("   Autres articles de robinetterie et organes similaires")</f>
        <v xml:space="preserve">   Autres articles de robinetterie et organes similaires</v>
      </c>
      <c r="C1419">
        <v>309120</v>
      </c>
      <c r="D1419">
        <v>520332161</v>
      </c>
    </row>
    <row r="1420" spans="1:4" s="1" customFormat="1" x14ac:dyDescent="0.25">
      <c r="A1420" s="1" t="str">
        <f>T("   ZZ_Total_Produit_SH6")</f>
        <v xml:space="preserve">   ZZ_Total_Produit_SH6</v>
      </c>
      <c r="B1420" s="1" t="str">
        <f>T("   ZZ_Total_Produit_SH6")</f>
        <v xml:space="preserve">   ZZ_Total_Produit_SH6</v>
      </c>
      <c r="C1420" s="1">
        <v>30986923</v>
      </c>
      <c r="D1420" s="1">
        <v>11676060927</v>
      </c>
    </row>
    <row r="1421" spans="1:4" s="1" customFormat="1" x14ac:dyDescent="0.25">
      <c r="B1421" s="1" t="str">
        <f>T("Togo")</f>
        <v>Togo</v>
      </c>
    </row>
    <row r="1422" spans="1:4" x14ac:dyDescent="0.25">
      <c r="A1422" t="str">
        <f>T("   030379")</f>
        <v xml:space="preserve">   030379</v>
      </c>
      <c r="B1422" t="str">
        <f>T("   AUTRES POISSONS ENTIERS CONGELES.(FOIES,OEUFS,LAITANCES EXCLUS)")</f>
        <v xml:space="preserve">   AUTRES POISSONS ENTIERS CONGELES.(FOIES,OEUFS,LAITANCES EXCLUS)</v>
      </c>
      <c r="C1422">
        <v>656911</v>
      </c>
      <c r="D1422">
        <v>218700630</v>
      </c>
    </row>
    <row r="1423" spans="1:4" x14ac:dyDescent="0.25">
      <c r="A1423" t="str">
        <f>T("   110710")</f>
        <v xml:space="preserve">   110710</v>
      </c>
      <c r="B1423" t="str">
        <f>T("   NON TORREFIE")</f>
        <v xml:space="preserve">   NON TORREFIE</v>
      </c>
      <c r="C1423">
        <v>100380</v>
      </c>
      <c r="D1423">
        <v>46000000</v>
      </c>
    </row>
    <row r="1424" spans="1:4" x14ac:dyDescent="0.25">
      <c r="A1424" t="str">
        <f>T("   110720")</f>
        <v xml:space="preserve">   110720</v>
      </c>
      <c r="B1424" t="str">
        <f>T("   TORREFIE")</f>
        <v xml:space="preserve">   TORREFIE</v>
      </c>
      <c r="C1424">
        <v>2000</v>
      </c>
      <c r="D1424">
        <v>1888000</v>
      </c>
    </row>
    <row r="1425" spans="1:4" x14ac:dyDescent="0.25">
      <c r="A1425" t="str">
        <f>T("   190230")</f>
        <v xml:space="preserve">   190230</v>
      </c>
      <c r="B1425" t="str">
        <f>T("   AUTRES PATES ALIMENTAIRES")</f>
        <v xml:space="preserve">   AUTRES PATES ALIMENTAIRES</v>
      </c>
      <c r="C1425">
        <v>16000</v>
      </c>
      <c r="D1425">
        <v>7040000</v>
      </c>
    </row>
    <row r="1426" spans="1:4" x14ac:dyDescent="0.25">
      <c r="A1426" t="str">
        <f>T("   190590")</f>
        <v xml:space="preserve">   190590</v>
      </c>
      <c r="B1426" t="str">
        <f>T("   AUTRES")</f>
        <v xml:space="preserve">   AUTRES</v>
      </c>
      <c r="C1426">
        <v>1400</v>
      </c>
      <c r="D1426">
        <v>1430000</v>
      </c>
    </row>
    <row r="1427" spans="1:4" x14ac:dyDescent="0.25">
      <c r="A1427" t="str">
        <f>T("   200949")</f>
        <v xml:space="preserve">   200949</v>
      </c>
      <c r="B1427" t="str">
        <f>T("   AUTRES")</f>
        <v xml:space="preserve">   AUTRES</v>
      </c>
      <c r="C1427">
        <v>13200</v>
      </c>
      <c r="D1427">
        <v>1320000</v>
      </c>
    </row>
    <row r="1428" spans="1:4" x14ac:dyDescent="0.25">
      <c r="A1428" t="str">
        <f>T("   200969")</f>
        <v xml:space="preserve">   200969</v>
      </c>
      <c r="B1428" t="str">
        <f>T("   AUTRES")</f>
        <v xml:space="preserve">   AUTRES</v>
      </c>
      <c r="C1428">
        <v>20220</v>
      </c>
      <c r="D1428">
        <v>3751763</v>
      </c>
    </row>
    <row r="1429" spans="1:4" x14ac:dyDescent="0.25">
      <c r="A1429" t="str">
        <f>T("   210410")</f>
        <v xml:space="preserve">   210410</v>
      </c>
      <c r="B1429" t="str">
        <f>T("   PREPARATIONS POUR SOUPES, POTAGES OU BOUILLONS; SOUPES, POTAGES OU BOUILLONS PREPARES")</f>
        <v xml:space="preserve">   PREPARATIONS POUR SOUPES, POTAGES OU BOUILLONS; SOUPES, POTAGES OU BOUILLONS PREPARES</v>
      </c>
      <c r="C1429">
        <v>49590</v>
      </c>
      <c r="D1429">
        <v>1500000</v>
      </c>
    </row>
    <row r="1430" spans="1:4" x14ac:dyDescent="0.25">
      <c r="A1430" t="str">
        <f>T("   210420")</f>
        <v xml:space="preserve">   210420</v>
      </c>
      <c r="B1430" t="str">
        <f>T("   PREPARATIONS ALIMENTAIRES COMPOSITES HOMOGENEISEES")</f>
        <v xml:space="preserve">   PREPARATIONS ALIMENTAIRES COMPOSITES HOMOGENEISEES</v>
      </c>
      <c r="C1430">
        <v>7200</v>
      </c>
      <c r="D1430">
        <v>3200000</v>
      </c>
    </row>
    <row r="1431" spans="1:4" x14ac:dyDescent="0.25">
      <c r="A1431" t="str">
        <f>T("   220110")</f>
        <v xml:space="preserve">   220110</v>
      </c>
      <c r="B1431" t="str">
        <f>T("   EAUX MINERALES ET EAUX GAZEIFIEES")</f>
        <v xml:space="preserve">   EAUX MINERALES ET EAUX GAZEIFIEES</v>
      </c>
      <c r="C1431">
        <v>136364</v>
      </c>
      <c r="D1431">
        <v>31385779</v>
      </c>
    </row>
    <row r="1432" spans="1:4" x14ac:dyDescent="0.25">
      <c r="A1432" t="str">
        <f>T("   220210")</f>
        <v xml:space="preserve">   220210</v>
      </c>
      <c r="B1432" t="str">
        <f>T("   EAUX, Y COMPRIS LES EAUX MINERALES ET LES EAUX GAZEIFIEES, ADDITIONNEES DE SUCRE OU D")</f>
        <v xml:space="preserve">   EAUX, Y COMPRIS LES EAUX MINERALES ET LES EAUX GAZEIFIEES, ADDITIONNEES DE SUCRE OU D</v>
      </c>
      <c r="C1432">
        <v>39397</v>
      </c>
      <c r="D1432">
        <v>15513853</v>
      </c>
    </row>
    <row r="1433" spans="1:4" x14ac:dyDescent="0.25">
      <c r="A1433" t="str">
        <f>T("   220290")</f>
        <v xml:space="preserve">   220290</v>
      </c>
      <c r="B1433" t="str">
        <f>T("   AUTRES")</f>
        <v xml:space="preserve">   AUTRES</v>
      </c>
      <c r="C1433">
        <v>51220</v>
      </c>
      <c r="D1433">
        <v>13751763</v>
      </c>
    </row>
    <row r="1434" spans="1:4" x14ac:dyDescent="0.25">
      <c r="A1434" t="str">
        <f>T("   230400")</f>
        <v xml:space="preserve">   230400</v>
      </c>
      <c r="B1434" t="str">
        <f>T("   TOURTEAUX ET AUTRES RESIDUS SOLIDES, MEME BROYES OU AGGLOMERES SOUS FORME DE PELLETS, D")</f>
        <v xml:space="preserve">   TOURTEAUX ET AUTRES RESIDUS SOLIDES, MEME BROYES OU AGGLOMERES SOUS FORME DE PELLETS, D</v>
      </c>
      <c r="C1434">
        <v>119980</v>
      </c>
      <c r="D1434">
        <v>35394100</v>
      </c>
    </row>
    <row r="1435" spans="1:4" x14ac:dyDescent="0.25">
      <c r="A1435" t="str">
        <f>T("   230610")</f>
        <v xml:space="preserve">   230610</v>
      </c>
      <c r="B1435" t="str">
        <f>T("   DE GRAINES DE COTON")</f>
        <v xml:space="preserve">   DE GRAINES DE COTON</v>
      </c>
      <c r="C1435">
        <v>592868</v>
      </c>
      <c r="D1435">
        <v>80948460</v>
      </c>
    </row>
    <row r="1436" spans="1:4" x14ac:dyDescent="0.25">
      <c r="A1436" t="str">
        <f>T("   240220")</f>
        <v xml:space="preserve">   240220</v>
      </c>
      <c r="B1436" t="str">
        <f>T("   Cigarettes contenant du tabac")</f>
        <v xml:space="preserve">   Cigarettes contenant du tabac</v>
      </c>
      <c r="C1436">
        <v>12000</v>
      </c>
      <c r="D1436">
        <v>156000000</v>
      </c>
    </row>
    <row r="1437" spans="1:4" x14ac:dyDescent="0.25">
      <c r="A1437" t="str">
        <f>T("   251520")</f>
        <v xml:space="preserve">   251520</v>
      </c>
      <c r="B1437" t="str">
        <f>T("   ECAUSSINES ET AUTRES PIERRES CALCAIRES DE TAILLE OU DE CONSTRUCTION; ALBATRE")</f>
        <v xml:space="preserve">   ECAUSSINES ET AUTRES PIERRES CALCAIRES DE TAILLE OU DE CONSTRUCTION; ALBATRE</v>
      </c>
      <c r="C1437">
        <v>42385000</v>
      </c>
      <c r="D1437">
        <v>434930790</v>
      </c>
    </row>
    <row r="1438" spans="1:4" x14ac:dyDescent="0.25">
      <c r="A1438" t="str">
        <f>T("   252390")</f>
        <v xml:space="preserve">   252390</v>
      </c>
      <c r="B1438" t="str">
        <f>T("   AUTRES CIMENTS HYDRAULIQUES")</f>
        <v xml:space="preserve">   AUTRES CIMENTS HYDRAULIQUES</v>
      </c>
      <c r="C1438">
        <v>6000</v>
      </c>
      <c r="D1438">
        <v>11100000</v>
      </c>
    </row>
    <row r="1439" spans="1:4" x14ac:dyDescent="0.25">
      <c r="A1439" t="str">
        <f>T("   271500")</f>
        <v xml:space="preserve">   271500</v>
      </c>
      <c r="B1439" t="str">
        <f>T("   MELANGES BITUMINEUX A BASE D'ASPHALTE OU DE BITUME NATURELS, DE BITUME DE PETROLE, DE G")</f>
        <v xml:space="preserve">   MELANGES BITUMINEUX A BASE D'ASPHALTE OU DE BITUME NATURELS, DE BITUME DE PETROLE, DE G</v>
      </c>
      <c r="C1439">
        <v>495000</v>
      </c>
      <c r="D1439">
        <v>152243180</v>
      </c>
    </row>
    <row r="1440" spans="1:4" x14ac:dyDescent="0.25">
      <c r="A1440" t="str">
        <f>T("   300439")</f>
        <v xml:space="preserve">   300439</v>
      </c>
      <c r="B1440" t="str">
        <f>T("   AUTRES")</f>
        <v xml:space="preserve">   AUTRES</v>
      </c>
      <c r="C1440">
        <v>3500</v>
      </c>
      <c r="D1440">
        <v>1146220</v>
      </c>
    </row>
    <row r="1441" spans="1:4" x14ac:dyDescent="0.25">
      <c r="A1441" t="str">
        <f>T("   300490")</f>
        <v xml:space="preserve">   300490</v>
      </c>
      <c r="B1441" t="str">
        <f>T("   AUTRES")</f>
        <v xml:space="preserve">   AUTRES</v>
      </c>
      <c r="C1441">
        <v>13599</v>
      </c>
      <c r="D1441">
        <v>225140400</v>
      </c>
    </row>
    <row r="1442" spans="1:4" x14ac:dyDescent="0.25">
      <c r="A1442" t="str">
        <f>T("   300590")</f>
        <v xml:space="preserve">   300590</v>
      </c>
      <c r="B1442" t="str">
        <f>T("   AUTRES")</f>
        <v xml:space="preserve">   AUTRES</v>
      </c>
      <c r="C1442">
        <v>737.5</v>
      </c>
      <c r="D1442">
        <v>979000</v>
      </c>
    </row>
    <row r="1443" spans="1:4" x14ac:dyDescent="0.25">
      <c r="A1443" t="str">
        <f>T("   320820")</f>
        <v xml:space="preserve">   320820</v>
      </c>
      <c r="B1443" t="str">
        <f>T("   A BASE DE POLYMERES ACRYLIQUES OU VINYLIQUES")</f>
        <v xml:space="preserve">   A BASE DE POLYMERES ACRYLIQUES OU VINYLIQUES</v>
      </c>
      <c r="C1443">
        <v>5510</v>
      </c>
      <c r="D1443">
        <v>2992920</v>
      </c>
    </row>
    <row r="1444" spans="1:4" x14ac:dyDescent="0.25">
      <c r="A1444" t="str">
        <f>T("   320890")</f>
        <v xml:space="preserve">   320890</v>
      </c>
      <c r="B1444" t="str">
        <f>T("   AUTRES")</f>
        <v xml:space="preserve">   AUTRES</v>
      </c>
      <c r="C1444">
        <v>384701</v>
      </c>
      <c r="D1444">
        <v>242947539</v>
      </c>
    </row>
    <row r="1445" spans="1:4" x14ac:dyDescent="0.25">
      <c r="A1445" t="str">
        <f>T("   320910")</f>
        <v xml:space="preserve">   320910</v>
      </c>
      <c r="B1445" t="str">
        <f>T("   A BASE DE POLYMERES ACRYLIQUES OU VINYLIQUES")</f>
        <v xml:space="preserve">   A BASE DE POLYMERES ACRYLIQUES OU VINYLIQUES</v>
      </c>
      <c r="C1445">
        <v>476101</v>
      </c>
      <c r="D1445">
        <v>285421574</v>
      </c>
    </row>
    <row r="1446" spans="1:4" x14ac:dyDescent="0.25">
      <c r="A1446" t="str">
        <f>T("   320990")</f>
        <v xml:space="preserve">   320990</v>
      </c>
      <c r="B1446" t="str">
        <f>T("   AUTRES")</f>
        <v xml:space="preserve">   AUTRES</v>
      </c>
      <c r="C1446">
        <v>298059</v>
      </c>
      <c r="D1446">
        <v>133865122</v>
      </c>
    </row>
    <row r="1447" spans="1:4" x14ac:dyDescent="0.25">
      <c r="A1447" t="str">
        <f>T("   330210")</f>
        <v xml:space="preserve">   330210</v>
      </c>
      <c r="B1447" t="str">
        <f>T("   DES TYPES UTILISES POUR LES INDUSTRIES ALIMENTAIRES OU DES BOISSONS")</f>
        <v xml:space="preserve">   DES TYPES UTILISES POUR LES INDUSTRIES ALIMENTAIRES OU DES BOISSONS</v>
      </c>
      <c r="C1447">
        <v>215</v>
      </c>
      <c r="D1447">
        <v>3354250</v>
      </c>
    </row>
    <row r="1448" spans="1:4" x14ac:dyDescent="0.25">
      <c r="A1448" t="str">
        <f>T("   350790")</f>
        <v xml:space="preserve">   350790</v>
      </c>
      <c r="B1448" t="str">
        <f>T("   AUTRES")</f>
        <v xml:space="preserve">   AUTRES</v>
      </c>
      <c r="C1448">
        <v>230</v>
      </c>
      <c r="D1448">
        <v>3321950</v>
      </c>
    </row>
    <row r="1449" spans="1:4" x14ac:dyDescent="0.25">
      <c r="A1449" t="str">
        <f>T("   380850")</f>
        <v xml:space="preserve">   380850</v>
      </c>
      <c r="B1449" t="str">
        <f>T("   MARCHANDISES MENTIONNEES DANS LA NOTE 1 DE SOUSPOSITIONS DU PRESENT CHAPITRE")</f>
        <v xml:space="preserve">   MARCHANDISES MENTIONNEES DANS LA NOTE 1 DE SOUSPOSITIONS DU PRESENT CHAPITRE</v>
      </c>
      <c r="C1449">
        <v>30000</v>
      </c>
      <c r="D1449">
        <v>7000000</v>
      </c>
    </row>
    <row r="1450" spans="1:4" x14ac:dyDescent="0.25">
      <c r="A1450" t="str">
        <f>T("   382440")</f>
        <v xml:space="preserve">   382440</v>
      </c>
      <c r="B1450" t="str">
        <f>T("   ADDITIFS PREPARES POUR CIMENTS, MORTIERS OU BETONS")</f>
        <v xml:space="preserve">   ADDITIFS PREPARES POUR CIMENTS, MORTIERS OU BETONS</v>
      </c>
      <c r="C1450">
        <v>47542</v>
      </c>
      <c r="D1450">
        <v>29841877</v>
      </c>
    </row>
    <row r="1451" spans="1:4" x14ac:dyDescent="0.25">
      <c r="A1451" t="str">
        <f>T("   391590")</f>
        <v xml:space="preserve">   391590</v>
      </c>
      <c r="B1451" t="str">
        <f>T("   D'AUTRES MATIERES PLASTIQUES")</f>
        <v xml:space="preserve">   D'AUTRES MATIERES PLASTIQUES</v>
      </c>
      <c r="C1451">
        <v>515500</v>
      </c>
      <c r="D1451">
        <v>12637500</v>
      </c>
    </row>
    <row r="1452" spans="1:4" x14ac:dyDescent="0.25">
      <c r="A1452" t="str">
        <f>T("   391721")</f>
        <v xml:space="preserve">   391721</v>
      </c>
      <c r="B1452" t="str">
        <f>T("   EN POLYMERES DE L'ETHYLENE")</f>
        <v xml:space="preserve">   EN POLYMERES DE L'ETHYLENE</v>
      </c>
      <c r="C1452">
        <v>8320</v>
      </c>
      <c r="D1452">
        <v>9431900</v>
      </c>
    </row>
    <row r="1453" spans="1:4" x14ac:dyDescent="0.25">
      <c r="A1453" t="str">
        <f>T("   391723")</f>
        <v xml:space="preserve">   391723</v>
      </c>
      <c r="B1453" t="str">
        <f>T("   EN POLYMERES DU CHLORURE DE VINYLE")</f>
        <v xml:space="preserve">   EN POLYMERES DU CHLORURE DE VINYLE</v>
      </c>
      <c r="C1453">
        <v>102751</v>
      </c>
      <c r="D1453">
        <v>81547190</v>
      </c>
    </row>
    <row r="1454" spans="1:4" x14ac:dyDescent="0.25">
      <c r="A1454" t="str">
        <f>T("   391739")</f>
        <v xml:space="preserve">   391739</v>
      </c>
      <c r="B1454" t="str">
        <f>T("   AUTRES")</f>
        <v xml:space="preserve">   AUTRES</v>
      </c>
      <c r="C1454">
        <v>78851</v>
      </c>
      <c r="D1454">
        <v>85248500</v>
      </c>
    </row>
    <row r="1455" spans="1:4" x14ac:dyDescent="0.25">
      <c r="A1455" t="str">
        <f>T("   392330")</f>
        <v xml:space="preserve">   392330</v>
      </c>
      <c r="B1455" t="str">
        <f>T("   BONBONNES, BOUTEILLES, FLACONS ET ARTICLES SIMILAIRES")</f>
        <v xml:space="preserve">   BONBONNES, BOUTEILLES, FLACONS ET ARTICLES SIMILAIRES</v>
      </c>
      <c r="C1455">
        <v>9028</v>
      </c>
      <c r="D1455">
        <v>12566400</v>
      </c>
    </row>
    <row r="1456" spans="1:4" x14ac:dyDescent="0.25">
      <c r="A1456" t="str">
        <f>T("   392640")</f>
        <v xml:space="preserve">   392640</v>
      </c>
      <c r="B1456" t="str">
        <f>T("   STATUETTES ET AUTRES OBJETS D'ORNEMENTATION")</f>
        <v xml:space="preserve">   STATUETTES ET AUTRES OBJETS D'ORNEMENTATION</v>
      </c>
      <c r="C1456">
        <v>2564</v>
      </c>
      <c r="D1456">
        <v>947397</v>
      </c>
    </row>
    <row r="1457" spans="1:4" x14ac:dyDescent="0.25">
      <c r="A1457" t="str">
        <f>T("   441840")</f>
        <v xml:space="preserve">   441840</v>
      </c>
      <c r="B1457" t="str">
        <f>T("   COFFRAGES POUR LE BETONNAGE")</f>
        <v xml:space="preserve">   COFFRAGES POUR LE BETONNAGE</v>
      </c>
      <c r="C1457">
        <v>78</v>
      </c>
      <c r="D1457">
        <v>195000</v>
      </c>
    </row>
    <row r="1458" spans="1:4" x14ac:dyDescent="0.25">
      <c r="A1458" t="str">
        <f>T("   481920")</f>
        <v xml:space="preserve">   481920</v>
      </c>
      <c r="B1458" t="str">
        <f>T("   BOITES ET CARTONNAGES, PLIANTS, EN PAPIER OU CARTON NON ONDULE")</f>
        <v xml:space="preserve">   BOITES ET CARTONNAGES, PLIANTS, EN PAPIER OU CARTON NON ONDULE</v>
      </c>
      <c r="C1458">
        <v>670</v>
      </c>
      <c r="D1458">
        <v>837317</v>
      </c>
    </row>
    <row r="1459" spans="1:4" x14ac:dyDescent="0.25">
      <c r="A1459" t="str">
        <f>T("   482020")</f>
        <v xml:space="preserve">   482020</v>
      </c>
      <c r="B1459" t="str">
        <f>T("   Cahiers")</f>
        <v xml:space="preserve">   Cahiers</v>
      </c>
      <c r="C1459">
        <v>14776</v>
      </c>
      <c r="D1459">
        <v>3194994</v>
      </c>
    </row>
    <row r="1460" spans="1:4" x14ac:dyDescent="0.25">
      <c r="A1460" t="str">
        <f>T("   520812")</f>
        <v xml:space="preserve">   520812</v>
      </c>
      <c r="B1460" t="str">
        <f>T("   A ARMURE TOILE, D'UN POIDS EXCEDANT 100 G/M²")</f>
        <v xml:space="preserve">   A ARMURE TOILE, D'UN POIDS EXCEDANT 100 G/M²</v>
      </c>
      <c r="C1460">
        <v>1451</v>
      </c>
      <c r="D1460">
        <v>3618720</v>
      </c>
    </row>
    <row r="1461" spans="1:4" x14ac:dyDescent="0.25">
      <c r="A1461" t="str">
        <f>T("   520959")</f>
        <v xml:space="preserve">   520959</v>
      </c>
      <c r="B1461" t="str">
        <f>T("   AUTRES TISSUS")</f>
        <v xml:space="preserve">   AUTRES TISSUS</v>
      </c>
      <c r="C1461">
        <v>18450</v>
      </c>
      <c r="D1461">
        <v>10000</v>
      </c>
    </row>
    <row r="1462" spans="1:4" x14ac:dyDescent="0.25">
      <c r="A1462" t="str">
        <f>T("   570190")</f>
        <v xml:space="preserve">   570190</v>
      </c>
      <c r="B1462" t="str">
        <f>T("   D'AUTRES MATIERES TEXTILES")</f>
        <v xml:space="preserve">   D'AUTRES MATIERES TEXTILES</v>
      </c>
      <c r="C1462">
        <v>2500</v>
      </c>
      <c r="D1462">
        <v>1500000</v>
      </c>
    </row>
    <row r="1463" spans="1:4" x14ac:dyDescent="0.25">
      <c r="A1463" t="str">
        <f>T("   570390")</f>
        <v xml:space="preserve">   570390</v>
      </c>
      <c r="B1463" t="str">
        <f>T("   D'AUTRES MATIERES TEXTILES")</f>
        <v xml:space="preserve">   D'AUTRES MATIERES TEXTILES</v>
      </c>
      <c r="C1463">
        <v>350</v>
      </c>
      <c r="D1463">
        <v>1500000</v>
      </c>
    </row>
    <row r="1464" spans="1:4" x14ac:dyDescent="0.25">
      <c r="A1464" t="str">
        <f>T("   570500")</f>
        <v xml:space="preserve">   570500</v>
      </c>
      <c r="B1464" t="str">
        <f>T("   AUTRES TAPIS ET REVETEMENTS DE SOL EN MATIERES TEXTILES, MEME CONFECTIONNES.")</f>
        <v xml:space="preserve">   AUTRES TAPIS ET REVETEMENTS DE SOL EN MATIERES TEXTILES, MEME CONFECTIONNES.</v>
      </c>
      <c r="C1464">
        <v>3205</v>
      </c>
      <c r="D1464">
        <v>884246</v>
      </c>
    </row>
    <row r="1465" spans="1:4" x14ac:dyDescent="0.25">
      <c r="A1465" t="str">
        <f>T("   620590")</f>
        <v xml:space="preserve">   620590</v>
      </c>
      <c r="B1465" t="str">
        <f>T("   D'AUTRES MATIERES TEXTILES")</f>
        <v xml:space="preserve">   D'AUTRES MATIERES TEXTILES</v>
      </c>
      <c r="C1465">
        <v>800</v>
      </c>
      <c r="D1465">
        <v>1000000</v>
      </c>
    </row>
    <row r="1466" spans="1:4" x14ac:dyDescent="0.25">
      <c r="A1466" t="str">
        <f>T("   630259")</f>
        <v xml:space="preserve">   630259</v>
      </c>
      <c r="B1466" t="str">
        <f>T("   D'AUTRES MATIERES TEXTILES")</f>
        <v xml:space="preserve">   D'AUTRES MATIERES TEXTILES</v>
      </c>
      <c r="C1466">
        <v>2500</v>
      </c>
      <c r="D1466">
        <v>885816</v>
      </c>
    </row>
    <row r="1467" spans="1:4" x14ac:dyDescent="0.25">
      <c r="A1467" t="str">
        <f>T("   630319")</f>
        <v xml:space="preserve">   630319</v>
      </c>
      <c r="B1467" t="str">
        <f>T("   D'AUTRES MATIERES TEXTILES")</f>
        <v xml:space="preserve">   D'AUTRES MATIERES TEXTILES</v>
      </c>
      <c r="C1467">
        <v>1500</v>
      </c>
      <c r="D1467">
        <v>712175</v>
      </c>
    </row>
    <row r="1468" spans="1:4" x14ac:dyDescent="0.25">
      <c r="A1468" t="str">
        <f>T("   630900")</f>
        <v xml:space="preserve">   630900</v>
      </c>
      <c r="B1468" t="str">
        <f>T("   ARTICLES DE FRIPERIE.")</f>
        <v xml:space="preserve">   ARTICLES DE FRIPERIE.</v>
      </c>
      <c r="C1468">
        <v>25000</v>
      </c>
      <c r="D1468">
        <v>9826280</v>
      </c>
    </row>
    <row r="1469" spans="1:4" x14ac:dyDescent="0.25">
      <c r="A1469" t="str">
        <f>T("   681019")</f>
        <v xml:space="preserve">   681019</v>
      </c>
      <c r="B1469" t="str">
        <f>T("   AUTRES")</f>
        <v xml:space="preserve">   AUTRES</v>
      </c>
      <c r="C1469">
        <v>644932.5</v>
      </c>
      <c r="D1469">
        <v>60274600</v>
      </c>
    </row>
    <row r="1470" spans="1:4" x14ac:dyDescent="0.25">
      <c r="A1470" t="str">
        <f>T("   701337")</f>
        <v xml:space="preserve">   701337</v>
      </c>
      <c r="B1470" t="str">
        <f>T("   AUTRES")</f>
        <v xml:space="preserve">   AUTRES</v>
      </c>
      <c r="C1470">
        <v>2564</v>
      </c>
      <c r="D1470">
        <v>950000</v>
      </c>
    </row>
    <row r="1471" spans="1:4" x14ac:dyDescent="0.25">
      <c r="A1471" t="str">
        <f>T("   701790")</f>
        <v xml:space="preserve">   701790</v>
      </c>
      <c r="B1471" t="str">
        <f>T("   AUTRE")</f>
        <v xml:space="preserve">   AUTRE</v>
      </c>
      <c r="C1471">
        <v>2300</v>
      </c>
      <c r="D1471">
        <v>495238</v>
      </c>
    </row>
    <row r="1472" spans="1:4" x14ac:dyDescent="0.25">
      <c r="A1472" t="str">
        <f>T("   702000")</f>
        <v xml:space="preserve">   702000</v>
      </c>
      <c r="B1472" t="str">
        <f>T("   AUTRES OUVRAGES EN VERRE.")</f>
        <v xml:space="preserve">   AUTRES OUVRAGES EN VERRE.</v>
      </c>
      <c r="C1472">
        <v>8525</v>
      </c>
      <c r="D1472">
        <v>4098360</v>
      </c>
    </row>
    <row r="1473" spans="1:4" x14ac:dyDescent="0.25">
      <c r="A1473" t="str">
        <f>T("   720853")</f>
        <v xml:space="preserve">   720853</v>
      </c>
      <c r="B1473" t="str">
        <f>T("   D'UNE EPAISSEUR DE 3 MM OU PLUS MAIS INFERIEURE A 4,75 MM")</f>
        <v xml:space="preserve">   D'UNE EPAISSEUR DE 3 MM OU PLUS MAIS INFERIEURE A 4,75 MM</v>
      </c>
      <c r="C1473">
        <v>6872</v>
      </c>
      <c r="D1473">
        <v>3830179</v>
      </c>
    </row>
    <row r="1474" spans="1:4" x14ac:dyDescent="0.25">
      <c r="A1474" t="str">
        <f>T("   721391")</f>
        <v xml:space="preserve">   721391</v>
      </c>
      <c r="B1474" t="str">
        <f>T("   DE SECTION CIRCULAIRE D'UN DIAMETRE INFERIEUR A 14 MM")</f>
        <v xml:space="preserve">   DE SECTION CIRCULAIRE D'UN DIAMETRE INFERIEUR A 14 MM</v>
      </c>
      <c r="C1474">
        <v>294881</v>
      </c>
      <c r="D1474">
        <v>87361902</v>
      </c>
    </row>
    <row r="1475" spans="1:4" x14ac:dyDescent="0.25">
      <c r="A1475" t="str">
        <f>T("   721420")</f>
        <v xml:space="preserve">   721420</v>
      </c>
      <c r="B1475" t="str">
        <f>T("   COMPORTANT DES INDENTATIONS, BOURRELETS, CREUX OU RELIEFS OBTENUS AU COURS DU LAMINAG")</f>
        <v xml:space="preserve">   COMPORTANT DES INDENTATIONS, BOURRELETS, CREUX OU RELIEFS OBTENUS AU COURS DU LAMINAG</v>
      </c>
      <c r="C1475">
        <v>230000</v>
      </c>
      <c r="D1475">
        <v>69515103</v>
      </c>
    </row>
    <row r="1476" spans="1:4" x14ac:dyDescent="0.25">
      <c r="A1476" t="str">
        <f>T("   721590")</f>
        <v xml:space="preserve">   721590</v>
      </c>
      <c r="B1476" t="str">
        <f>T("   AUTRES")</f>
        <v xml:space="preserve">   AUTRES</v>
      </c>
      <c r="C1476">
        <v>560394</v>
      </c>
      <c r="D1476">
        <v>172128050</v>
      </c>
    </row>
    <row r="1477" spans="1:4" x14ac:dyDescent="0.25">
      <c r="A1477" t="str">
        <f>T("   721790")</f>
        <v xml:space="preserve">   721790</v>
      </c>
      <c r="B1477" t="str">
        <f>T("   AUTRES")</f>
        <v xml:space="preserve">   AUTRES</v>
      </c>
      <c r="C1477">
        <v>69500</v>
      </c>
      <c r="D1477">
        <v>53883000</v>
      </c>
    </row>
    <row r="1478" spans="1:4" x14ac:dyDescent="0.25">
      <c r="A1478" t="str">
        <f>T("   731700")</f>
        <v xml:space="preserve">   731700</v>
      </c>
      <c r="B1478" t="str">
        <f>T("   POINTES, CLOUS, PUNAISES, CRAMPONS APPOINTES, AGRAFES ONDULEES OU BISEAUTEES ET ARTICLE")</f>
        <v xml:space="preserve">   POINTES, CLOUS, PUNAISES, CRAMPONS APPOINTES, AGRAFES ONDULEES OU BISEAUTEES ET ARTICLE</v>
      </c>
      <c r="C1478">
        <v>43125</v>
      </c>
      <c r="D1478">
        <v>14015625</v>
      </c>
    </row>
    <row r="1479" spans="1:4" x14ac:dyDescent="0.25">
      <c r="A1479" t="str">
        <f>T("   732394")</f>
        <v xml:space="preserve">   732394</v>
      </c>
      <c r="B1479" t="str">
        <f>T("   EN FER OU EN ACIER, EMAILLES")</f>
        <v xml:space="preserve">   EN FER OU EN ACIER, EMAILLES</v>
      </c>
      <c r="C1479">
        <v>4246</v>
      </c>
      <c r="D1479">
        <v>1221096</v>
      </c>
    </row>
    <row r="1480" spans="1:4" x14ac:dyDescent="0.25">
      <c r="A1480" t="str">
        <f>T("   761010")</f>
        <v xml:space="preserve">   761010</v>
      </c>
      <c r="B1480" t="str">
        <f>T("   PORTES, FENETRES ET LEURS CADRES, CHAMBRANLES ET SEUILS")</f>
        <v xml:space="preserve">   PORTES, FENETRES ET LEURS CADRES, CHAMBRANLES ET SEUILS</v>
      </c>
      <c r="C1480">
        <v>1500</v>
      </c>
      <c r="D1480">
        <v>825000</v>
      </c>
    </row>
    <row r="1481" spans="1:4" x14ac:dyDescent="0.25">
      <c r="A1481" t="str">
        <f>T("   820520")</f>
        <v xml:space="preserve">   820520</v>
      </c>
      <c r="B1481" t="str">
        <f>T("   MARTEAUX ET MASSES")</f>
        <v xml:space="preserve">   MARTEAUX ET MASSES</v>
      </c>
      <c r="C1481">
        <v>90</v>
      </c>
      <c r="D1481">
        <v>89621</v>
      </c>
    </row>
    <row r="1482" spans="1:4" x14ac:dyDescent="0.25">
      <c r="A1482" t="str">
        <f>T("   841370")</f>
        <v xml:space="preserve">   841370</v>
      </c>
      <c r="B1482" t="str">
        <f>T("   Autres pompes centrifuges")</f>
        <v xml:space="preserve">   Autres pompes centrifuges</v>
      </c>
      <c r="C1482">
        <v>650</v>
      </c>
      <c r="D1482">
        <v>8114882</v>
      </c>
    </row>
    <row r="1483" spans="1:4" x14ac:dyDescent="0.25">
      <c r="A1483" t="str">
        <f>T("   841381")</f>
        <v xml:space="preserve">   841381</v>
      </c>
      <c r="B1483" t="str">
        <f>T("   POMPES")</f>
        <v xml:space="preserve">   POMPES</v>
      </c>
      <c r="C1483">
        <v>5193</v>
      </c>
      <c r="D1483">
        <v>35823843</v>
      </c>
    </row>
    <row r="1484" spans="1:4" x14ac:dyDescent="0.25">
      <c r="A1484" t="str">
        <f>T("   841382")</f>
        <v xml:space="preserve">   841382</v>
      </c>
      <c r="B1484" t="str">
        <f>T("   ELEVATEURS A LIQUIDES")</f>
        <v xml:space="preserve">   ELEVATEURS A LIQUIDES</v>
      </c>
      <c r="C1484">
        <v>100</v>
      </c>
      <c r="D1484">
        <v>1095371</v>
      </c>
    </row>
    <row r="1485" spans="1:4" x14ac:dyDescent="0.25">
      <c r="A1485" t="str">
        <f>T("   841420")</f>
        <v xml:space="preserve">   841420</v>
      </c>
      <c r="B1485" t="str">
        <f>T("   POMPES A AIR, A MAIN OU A PIED")</f>
        <v xml:space="preserve">   POMPES A AIR, A MAIN OU A PIED</v>
      </c>
      <c r="C1485">
        <v>100</v>
      </c>
      <c r="D1485">
        <v>909642</v>
      </c>
    </row>
    <row r="1486" spans="1:4" x14ac:dyDescent="0.25">
      <c r="A1486" t="str">
        <f>T("   841440")</f>
        <v xml:space="preserve">   841440</v>
      </c>
      <c r="B1486" t="str">
        <f>T("   COMPRESSEURS D'AIR MONTES SUR CHASSIS A ROUES ET REMORQUABLES")</f>
        <v xml:space="preserve">   COMPRESSEURS D'AIR MONTES SUR CHASSIS A ROUES ET REMORQUABLES</v>
      </c>
      <c r="C1486">
        <v>21520</v>
      </c>
      <c r="D1486">
        <v>38588415</v>
      </c>
    </row>
    <row r="1487" spans="1:4" x14ac:dyDescent="0.25">
      <c r="A1487" t="str">
        <f>T("   841459")</f>
        <v xml:space="preserve">   841459</v>
      </c>
      <c r="B1487" t="str">
        <f>T("   AUTRES")</f>
        <v xml:space="preserve">   AUTRES</v>
      </c>
      <c r="C1487">
        <v>350</v>
      </c>
      <c r="D1487">
        <v>350000</v>
      </c>
    </row>
    <row r="1488" spans="1:4" x14ac:dyDescent="0.25">
      <c r="A1488" t="str">
        <f>T("   841480")</f>
        <v xml:space="preserve">   841480</v>
      </c>
      <c r="B1488" t="str">
        <f>T("   AUTRES")</f>
        <v xml:space="preserve">   AUTRES</v>
      </c>
      <c r="C1488">
        <v>300</v>
      </c>
      <c r="D1488">
        <v>507060</v>
      </c>
    </row>
    <row r="1489" spans="1:4" x14ac:dyDescent="0.25">
      <c r="A1489" t="str">
        <f>T("   841829")</f>
        <v xml:space="preserve">   841829</v>
      </c>
      <c r="B1489" t="str">
        <f>T("   AUTRES")</f>
        <v xml:space="preserve">   AUTRES</v>
      </c>
      <c r="C1489">
        <v>21000</v>
      </c>
      <c r="D1489">
        <v>81547760</v>
      </c>
    </row>
    <row r="1490" spans="1:4" x14ac:dyDescent="0.25">
      <c r="A1490" t="str">
        <f>T("   842382")</f>
        <v xml:space="preserve">   842382</v>
      </c>
      <c r="B1490" t="str">
        <f>T("   D'UNE PORTEE EXCEDANT 30 KG MAIS N'EXCEDANT PAS 5.000 KG")</f>
        <v xml:space="preserve">   D'UNE PORTEE EXCEDANT 30 KG MAIS N'EXCEDANT PAS 5.000 KG</v>
      </c>
      <c r="C1490">
        <v>11000</v>
      </c>
      <c r="D1490">
        <v>7219492</v>
      </c>
    </row>
    <row r="1491" spans="1:4" x14ac:dyDescent="0.25">
      <c r="A1491" t="str">
        <f>T("   842389")</f>
        <v xml:space="preserve">   842389</v>
      </c>
      <c r="B1491" t="str">
        <f>T("   AUTRES")</f>
        <v xml:space="preserve">   AUTRES</v>
      </c>
      <c r="C1491">
        <v>11000</v>
      </c>
      <c r="D1491">
        <v>16712650</v>
      </c>
    </row>
    <row r="1492" spans="1:4" x14ac:dyDescent="0.25">
      <c r="A1492" t="str">
        <f>T("   842620")</f>
        <v xml:space="preserve">   842620</v>
      </c>
      <c r="B1492" t="str">
        <f>T("   Grues a tour")</f>
        <v xml:space="preserve">   Grues a tour</v>
      </c>
      <c r="C1492">
        <v>20000</v>
      </c>
      <c r="D1492">
        <v>10750000</v>
      </c>
    </row>
    <row r="1493" spans="1:4" x14ac:dyDescent="0.25">
      <c r="A1493" t="str">
        <f>T("   842641")</f>
        <v xml:space="preserve">   842641</v>
      </c>
      <c r="B1493" t="str">
        <f>T("   SUR PNEUMATIQUES")</f>
        <v xml:space="preserve">   SUR PNEUMATIQUES</v>
      </c>
      <c r="C1493">
        <v>4082</v>
      </c>
      <c r="D1493">
        <v>169119722</v>
      </c>
    </row>
    <row r="1494" spans="1:4" x14ac:dyDescent="0.25">
      <c r="A1494" t="str">
        <f>T("   842649")</f>
        <v xml:space="preserve">   842649</v>
      </c>
      <c r="B1494" t="str">
        <f>T("   AUTRES")</f>
        <v xml:space="preserve">   AUTRES</v>
      </c>
      <c r="C1494">
        <v>52000</v>
      </c>
      <c r="D1494">
        <v>101293343</v>
      </c>
    </row>
    <row r="1495" spans="1:4" x14ac:dyDescent="0.25">
      <c r="A1495" t="str">
        <f>T("   842720")</f>
        <v xml:space="preserve">   842720</v>
      </c>
      <c r="B1495" t="str">
        <f>T("   AUTRES CHARIOTS AUTOPROPULSES")</f>
        <v xml:space="preserve">   AUTRES CHARIOTS AUTOPROPULSES</v>
      </c>
      <c r="C1495">
        <v>10000</v>
      </c>
      <c r="D1495">
        <v>8199500</v>
      </c>
    </row>
    <row r="1496" spans="1:4" x14ac:dyDescent="0.25">
      <c r="A1496" t="str">
        <f>T("   842790")</f>
        <v xml:space="preserve">   842790</v>
      </c>
      <c r="B1496" t="str">
        <f>T("   AUTRES CHARIOTS")</f>
        <v xml:space="preserve">   AUTRES CHARIOTS</v>
      </c>
      <c r="C1496">
        <v>33300</v>
      </c>
      <c r="D1496">
        <v>63221424</v>
      </c>
    </row>
    <row r="1497" spans="1:4" x14ac:dyDescent="0.25">
      <c r="A1497" t="str">
        <f>T("   842920")</f>
        <v xml:space="preserve">   842920</v>
      </c>
      <c r="B1497" t="str">
        <f>T("   NIVELEUSES")</f>
        <v xml:space="preserve">   NIVELEUSES</v>
      </c>
      <c r="C1497">
        <v>41550</v>
      </c>
      <c r="D1497">
        <v>45921947</v>
      </c>
    </row>
    <row r="1498" spans="1:4" x14ac:dyDescent="0.25">
      <c r="A1498" t="str">
        <f>T("   842940")</f>
        <v xml:space="preserve">   842940</v>
      </c>
      <c r="B1498" t="str">
        <f>T("   COMPACTEUSES ET ROULEAUX COMPRESSEURS")</f>
        <v xml:space="preserve">   COMPACTEUSES ET ROULEAUX COMPRESSEURS</v>
      </c>
      <c r="C1498">
        <v>66215</v>
      </c>
      <c r="D1498">
        <v>114470740</v>
      </c>
    </row>
    <row r="1499" spans="1:4" x14ac:dyDescent="0.25">
      <c r="A1499" t="str">
        <f>T("   842951")</f>
        <v xml:space="preserve">   842951</v>
      </c>
      <c r="B1499" t="str">
        <f>T("   CHARGEUSES ET CHARGEUSESPELLETEUSES A CHARGEMENT FRONTAL")</f>
        <v xml:space="preserve">   CHARGEUSES ET CHARGEUSESPELLETEUSES A CHARGEMENT FRONTAL</v>
      </c>
      <c r="C1499">
        <v>40000</v>
      </c>
      <c r="D1499">
        <v>57750926</v>
      </c>
    </row>
    <row r="1500" spans="1:4" x14ac:dyDescent="0.25">
      <c r="A1500" t="str">
        <f>T("   842959")</f>
        <v xml:space="preserve">   842959</v>
      </c>
      <c r="B1500" t="str">
        <f>T("   AUTRES")</f>
        <v xml:space="preserve">   AUTRES</v>
      </c>
      <c r="C1500">
        <v>357318</v>
      </c>
      <c r="D1500">
        <v>454759448</v>
      </c>
    </row>
    <row r="1501" spans="1:4" x14ac:dyDescent="0.25">
      <c r="A1501" t="str">
        <f>T("   843041")</f>
        <v xml:space="preserve">   843041</v>
      </c>
      <c r="B1501" t="str">
        <f>T("   AUTOPROPULSEES")</f>
        <v xml:space="preserve">   AUTOPROPULSEES</v>
      </c>
      <c r="C1501">
        <v>9020</v>
      </c>
      <c r="D1501">
        <v>4910500</v>
      </c>
    </row>
    <row r="1502" spans="1:4" x14ac:dyDescent="0.25">
      <c r="A1502" t="str">
        <f>T("   843049")</f>
        <v xml:space="preserve">   843049</v>
      </c>
      <c r="B1502" t="str">
        <f>T("   AUTRES")</f>
        <v xml:space="preserve">   AUTRES</v>
      </c>
      <c r="C1502">
        <v>160000</v>
      </c>
      <c r="D1502">
        <v>196788000</v>
      </c>
    </row>
    <row r="1503" spans="1:4" x14ac:dyDescent="0.25">
      <c r="A1503" t="str">
        <f>T("   843061")</f>
        <v xml:space="preserve">   843061</v>
      </c>
      <c r="B1503" t="str">
        <f>T("   MACHINES ET APPAREILS A TASSER OU A COMPACTER")</f>
        <v xml:space="preserve">   MACHINES ET APPAREILS A TASSER OU A COMPACTER</v>
      </c>
      <c r="C1503">
        <v>6500</v>
      </c>
      <c r="D1503">
        <v>3858694</v>
      </c>
    </row>
    <row r="1504" spans="1:4" x14ac:dyDescent="0.25">
      <c r="A1504" t="str">
        <f>T("   845899")</f>
        <v xml:space="preserve">   845899</v>
      </c>
      <c r="B1504" t="str">
        <f>T("   AUTRES")</f>
        <v xml:space="preserve">   AUTRES</v>
      </c>
      <c r="C1504">
        <v>10000</v>
      </c>
      <c r="D1504">
        <v>4107642</v>
      </c>
    </row>
    <row r="1505" spans="1:4" x14ac:dyDescent="0.25">
      <c r="A1505" t="str">
        <f>T("   846190")</f>
        <v xml:space="preserve">   846190</v>
      </c>
      <c r="B1505" t="str">
        <f>T("   AUTRES")</f>
        <v xml:space="preserve">   AUTRES</v>
      </c>
      <c r="C1505">
        <v>590</v>
      </c>
      <c r="D1505">
        <v>921108</v>
      </c>
    </row>
    <row r="1506" spans="1:4" x14ac:dyDescent="0.25">
      <c r="A1506" t="str">
        <f>T("   846291")</f>
        <v xml:space="preserve">   846291</v>
      </c>
      <c r="B1506" t="str">
        <f>T("   PRESSES HYDRAULIQUES")</f>
        <v xml:space="preserve">   PRESSES HYDRAULIQUES</v>
      </c>
      <c r="C1506">
        <v>7960</v>
      </c>
      <c r="D1506">
        <v>1568372</v>
      </c>
    </row>
    <row r="1507" spans="1:4" x14ac:dyDescent="0.25">
      <c r="A1507" t="str">
        <f>T("   846410")</f>
        <v xml:space="preserve">   846410</v>
      </c>
      <c r="B1507" t="str">
        <f>T("   MACHINES A SCIER")</f>
        <v xml:space="preserve">   MACHINES A SCIER</v>
      </c>
      <c r="C1507">
        <v>894</v>
      </c>
      <c r="D1507">
        <v>9923554</v>
      </c>
    </row>
    <row r="1508" spans="1:4" x14ac:dyDescent="0.25">
      <c r="A1508" t="str">
        <f>T("   846880")</f>
        <v xml:space="preserve">   846880</v>
      </c>
      <c r="B1508" t="str">
        <f>T("   AUTRES MACHINES ET APPAREILS")</f>
        <v xml:space="preserve">   AUTRES MACHINES ET APPAREILS</v>
      </c>
      <c r="C1508">
        <v>700</v>
      </c>
      <c r="D1508">
        <v>5078540</v>
      </c>
    </row>
    <row r="1509" spans="1:4" x14ac:dyDescent="0.25">
      <c r="A1509" t="str">
        <f>T("   847420")</f>
        <v xml:space="preserve">   847420</v>
      </c>
      <c r="B1509" t="str">
        <f>T("   MACHINES ET APPAREILS A CONCASSER, BROYER OU PULVERISER")</f>
        <v xml:space="preserve">   MACHINES ET APPAREILS A CONCASSER, BROYER OU PULVERISER</v>
      </c>
      <c r="C1509">
        <v>125000</v>
      </c>
      <c r="D1509">
        <v>113685950</v>
      </c>
    </row>
    <row r="1510" spans="1:4" x14ac:dyDescent="0.25">
      <c r="A1510" t="str">
        <f>T("   847431")</f>
        <v xml:space="preserve">   847431</v>
      </c>
      <c r="B1510" t="str">
        <f>T("   BETONNIERES ET APPAREILS A GACHER LE CIMENT")</f>
        <v xml:space="preserve">   BETONNIERES ET APPAREILS A GACHER LE CIMENT</v>
      </c>
      <c r="C1510">
        <v>18340</v>
      </c>
      <c r="D1510">
        <v>26527912</v>
      </c>
    </row>
    <row r="1511" spans="1:4" x14ac:dyDescent="0.25">
      <c r="A1511" t="str">
        <f>T("   847432")</f>
        <v xml:space="preserve">   847432</v>
      </c>
      <c r="B1511" t="str">
        <f>T("   MACHINES A MELANGER LES MATIERES MINERALES AU BITUME")</f>
        <v xml:space="preserve">   MACHINES A MELANGER LES MATIERES MINERALES AU BITUME</v>
      </c>
      <c r="C1511">
        <v>138000</v>
      </c>
      <c r="D1511">
        <v>53869000</v>
      </c>
    </row>
    <row r="1512" spans="1:4" x14ac:dyDescent="0.25">
      <c r="A1512" t="str">
        <f>T("   847910")</f>
        <v xml:space="preserve">   847910</v>
      </c>
      <c r="B1512" t="str">
        <f>T("   MACHINES ET APPAREILS POUR LES TRAVAUX PUBLICS, LE BATIMENT OU LES TRAVAUX ANALOGUES")</f>
        <v xml:space="preserve">   MACHINES ET APPAREILS POUR LES TRAVAUX PUBLICS, LE BATIMENT OU LES TRAVAUX ANALOGUES</v>
      </c>
      <c r="C1512">
        <v>29020</v>
      </c>
      <c r="D1512">
        <v>57332152</v>
      </c>
    </row>
    <row r="1513" spans="1:4" x14ac:dyDescent="0.25">
      <c r="A1513" t="str">
        <f>T("   847990")</f>
        <v xml:space="preserve">   847990</v>
      </c>
      <c r="B1513" t="str">
        <f>T("   PARTIES")</f>
        <v xml:space="preserve">   PARTIES</v>
      </c>
      <c r="C1513">
        <v>19986</v>
      </c>
      <c r="D1513">
        <v>104558160</v>
      </c>
    </row>
    <row r="1514" spans="1:4" x14ac:dyDescent="0.25">
      <c r="A1514" t="str">
        <f>T("   848120")</f>
        <v xml:space="preserve">   848120</v>
      </c>
      <c r="B1514" t="str">
        <f>T("   VALVES POUR TRANSMISSIONS OLEOHYDRAULIQUES OU PNEUMATIQUES")</f>
        <v xml:space="preserve">   VALVES POUR TRANSMISSIONS OLEOHYDRAULIQUES OU PNEUMATIQUES</v>
      </c>
      <c r="C1514">
        <v>154</v>
      </c>
      <c r="D1514">
        <v>655957</v>
      </c>
    </row>
    <row r="1515" spans="1:4" x14ac:dyDescent="0.25">
      <c r="A1515" t="str">
        <f>T("   850133")</f>
        <v xml:space="preserve">   850133</v>
      </c>
      <c r="B1515" t="str">
        <f>T("   D'UNE PUISSANCE EXCEDANT 75 KW MAIS N'EXCEDANT PAS 375 KW")</f>
        <v xml:space="preserve">   D'UNE PUISSANCE EXCEDANT 75 KW MAIS N'EXCEDANT PAS 375 KW</v>
      </c>
      <c r="C1515">
        <v>150</v>
      </c>
      <c r="D1515">
        <v>647265</v>
      </c>
    </row>
    <row r="1516" spans="1:4" x14ac:dyDescent="0.25">
      <c r="A1516" t="str">
        <f>T("   850161")</f>
        <v xml:space="preserve">   850161</v>
      </c>
      <c r="B1516" t="str">
        <f>T("   D'UNE PUISSANCE N'EXCEDANT PAS 75 KVA")</f>
        <v xml:space="preserve">   D'UNE PUISSANCE N'EXCEDANT PAS 75 KVA</v>
      </c>
      <c r="C1516">
        <v>4300</v>
      </c>
      <c r="D1516">
        <v>4227990</v>
      </c>
    </row>
    <row r="1517" spans="1:4" x14ac:dyDescent="0.25">
      <c r="A1517" t="str">
        <f>T("   850162")</f>
        <v xml:space="preserve">   850162</v>
      </c>
      <c r="B1517" t="str">
        <f>T("   D'UNE PUISSANCE EXCEDANT 75 KVA MAIS N'EXCEDANT PAS 375 KVA")</f>
        <v xml:space="preserve">   D'UNE PUISSANCE EXCEDANT 75 KVA MAIS N'EXCEDANT PAS 375 KVA</v>
      </c>
      <c r="C1517">
        <v>2250</v>
      </c>
      <c r="D1517">
        <v>14936880</v>
      </c>
    </row>
    <row r="1518" spans="1:4" x14ac:dyDescent="0.25">
      <c r="A1518" t="str">
        <f>T("   850211")</f>
        <v xml:space="preserve">   850211</v>
      </c>
      <c r="B1518" t="str">
        <f>T("   D'UNE PUISSANCE N'EXCEDANT PAS 75 KVA")</f>
        <v xml:space="preserve">   D'UNE PUISSANCE N'EXCEDANT PAS 75 KVA</v>
      </c>
      <c r="C1518">
        <v>5088</v>
      </c>
      <c r="D1518">
        <v>18629268</v>
      </c>
    </row>
    <row r="1519" spans="1:4" x14ac:dyDescent="0.25">
      <c r="A1519" t="str">
        <f>T("   850212")</f>
        <v xml:space="preserve">   850212</v>
      </c>
      <c r="B1519" t="str">
        <f>T("   D'UNE PUISSANCE EXCEDANT 75 KVA MAIS N'EXCEDANT PAS 375 KVA")</f>
        <v xml:space="preserve">   D'UNE PUISSANCE EXCEDANT 75 KVA MAIS N'EXCEDANT PAS 375 KVA</v>
      </c>
      <c r="C1519">
        <v>4844</v>
      </c>
      <c r="D1519">
        <v>16590901</v>
      </c>
    </row>
    <row r="1520" spans="1:4" x14ac:dyDescent="0.25">
      <c r="A1520" t="str">
        <f>T("   850213")</f>
        <v xml:space="preserve">   850213</v>
      </c>
      <c r="B1520" t="str">
        <f>T("   D'UNE PUISSANCE EXCEDANT 375 KVA")</f>
        <v xml:space="preserve">   D'UNE PUISSANCE EXCEDANT 375 KVA</v>
      </c>
      <c r="C1520">
        <v>12228</v>
      </c>
      <c r="D1520">
        <v>77435863</v>
      </c>
    </row>
    <row r="1521" spans="1:4" x14ac:dyDescent="0.25">
      <c r="A1521" t="str">
        <f>T("   850220")</f>
        <v xml:space="preserve">   850220</v>
      </c>
      <c r="B1521" t="str">
        <f>T("   GROUPES ELECTROGENES A MOTEUR A PISTON A ALLUMAGE PAR ETINCELLES (MOTEURS A EXPLOSION")</f>
        <v xml:space="preserve">   GROUPES ELECTROGENES A MOTEUR A PISTON A ALLUMAGE PAR ETINCELLES (MOTEURS A EXPLOSION</v>
      </c>
      <c r="C1521">
        <v>1000</v>
      </c>
      <c r="D1521">
        <v>175000</v>
      </c>
    </row>
    <row r="1522" spans="1:4" x14ac:dyDescent="0.25">
      <c r="A1522" t="str">
        <f>T("   850433")</f>
        <v xml:space="preserve">   850433</v>
      </c>
      <c r="B1522" t="str">
        <f>T("   D'UNE PUISSANCE EXCEDANT 16 KVA MAIS N'EXCEDANT PAS 500 KVA")</f>
        <v xml:space="preserve">   D'UNE PUISSANCE EXCEDANT 16 KVA MAIS N'EXCEDANT PAS 500 KVA</v>
      </c>
      <c r="C1522">
        <v>549</v>
      </c>
      <c r="D1522">
        <v>5810596</v>
      </c>
    </row>
    <row r="1523" spans="1:4" x14ac:dyDescent="0.25">
      <c r="A1523" t="str">
        <f>T("   851220")</f>
        <v xml:space="preserve">   851220</v>
      </c>
      <c r="B1523" t="str">
        <f>T("   AUTRES APPAREILS D'ECLAIRAGE OU DE SIGNALISATION VISUELLE")</f>
        <v xml:space="preserve">   AUTRES APPAREILS D'ECLAIRAGE OU DE SIGNALISATION VISUELLE</v>
      </c>
      <c r="C1523">
        <v>250</v>
      </c>
      <c r="D1523">
        <v>250000</v>
      </c>
    </row>
    <row r="1524" spans="1:4" x14ac:dyDescent="0.25">
      <c r="A1524" t="str">
        <f>T("   851430")</f>
        <v xml:space="preserve">   851430</v>
      </c>
      <c r="B1524" t="str">
        <f>T("   AUTRES FOURS")</f>
        <v xml:space="preserve">   AUTRES FOURS</v>
      </c>
      <c r="C1524">
        <v>6920</v>
      </c>
      <c r="D1524">
        <v>1450000</v>
      </c>
    </row>
    <row r="1525" spans="1:4" x14ac:dyDescent="0.25">
      <c r="A1525" t="str">
        <f>T("   851531")</f>
        <v xml:space="preserve">   851531</v>
      </c>
      <c r="B1525" t="str">
        <f>T("   ENTIEREMENT OU PARTIELLEMENT AUTOMATIQUES")</f>
        <v xml:space="preserve">   ENTIEREMENT OU PARTIELLEMENT AUTOMATIQUES</v>
      </c>
      <c r="C1525">
        <v>150</v>
      </c>
      <c r="D1525">
        <v>1881899</v>
      </c>
    </row>
    <row r="1526" spans="1:4" x14ac:dyDescent="0.25">
      <c r="A1526" t="str">
        <f>T("   851539")</f>
        <v xml:space="preserve">   851539</v>
      </c>
      <c r="B1526" t="str">
        <f>T("   AUTRES")</f>
        <v xml:space="preserve">   AUTRES</v>
      </c>
      <c r="C1526">
        <v>1780</v>
      </c>
      <c r="D1526">
        <v>5945158</v>
      </c>
    </row>
    <row r="1527" spans="1:4" x14ac:dyDescent="0.25">
      <c r="A1527" t="str">
        <f>T("   851580")</f>
        <v xml:space="preserve">   851580</v>
      </c>
      <c r="B1527" t="str">
        <f>T("   AUTRES MACHINES ET APPAREILS")</f>
        <v xml:space="preserve">   AUTRES MACHINES ET APPAREILS</v>
      </c>
      <c r="C1527">
        <v>1578</v>
      </c>
      <c r="D1527">
        <v>12402701</v>
      </c>
    </row>
    <row r="1528" spans="1:4" x14ac:dyDescent="0.25">
      <c r="A1528" t="str">
        <f>T("   851640")</f>
        <v xml:space="preserve">   851640</v>
      </c>
      <c r="B1528" t="str">
        <f>T("   Fers a repasser electriques")</f>
        <v xml:space="preserve">   Fers a repasser electriques</v>
      </c>
      <c r="C1528">
        <v>300</v>
      </c>
      <c r="D1528">
        <v>200000</v>
      </c>
    </row>
    <row r="1529" spans="1:4" x14ac:dyDescent="0.25">
      <c r="A1529" t="str">
        <f>T("   853910")</f>
        <v xml:space="preserve">   853910</v>
      </c>
      <c r="B1529" t="str">
        <f>T("   ARTICLES DITS «PHARES ET PROJECTEURS SCELLES»")</f>
        <v xml:space="preserve">   ARTICLES DITS «PHARES ET PROJECTEURS SCELLES»</v>
      </c>
      <c r="C1529">
        <v>2920</v>
      </c>
      <c r="D1529">
        <v>2265427</v>
      </c>
    </row>
    <row r="1530" spans="1:4" x14ac:dyDescent="0.25">
      <c r="A1530" t="str">
        <f>T("   853949")</f>
        <v xml:space="preserve">   853949</v>
      </c>
      <c r="B1530" t="str">
        <f>T("   AUTRES")</f>
        <v xml:space="preserve">   AUTRES</v>
      </c>
      <c r="C1530">
        <v>1440</v>
      </c>
      <c r="D1530">
        <v>3186534</v>
      </c>
    </row>
    <row r="1531" spans="1:4" x14ac:dyDescent="0.25">
      <c r="A1531" t="str">
        <f>T("   870120")</f>
        <v xml:space="preserve">   870120</v>
      </c>
      <c r="B1531" t="str">
        <f>T("   TRACTEURS ROUTIERS POUR SEMIREMORQUES")</f>
        <v xml:space="preserve">   TRACTEURS ROUTIERS POUR SEMIREMORQUES</v>
      </c>
      <c r="C1531">
        <v>205000</v>
      </c>
      <c r="D1531">
        <v>48869020</v>
      </c>
    </row>
    <row r="1532" spans="1:4" x14ac:dyDescent="0.25">
      <c r="A1532" t="str">
        <f>T("   870323")</f>
        <v xml:space="preserve">   870323</v>
      </c>
      <c r="B1532" t="str">
        <f>T("   D’UNE CYLINDREE EXCEDANT 1.500 CM³ MAIS N’EXCEDANT PAS 3.000 CM³")</f>
        <v xml:space="preserve">   D’UNE CYLINDREE EXCEDANT 1.500 CM³ MAIS N’EXCEDANT PAS 3.000 CM³</v>
      </c>
      <c r="C1532">
        <v>2205</v>
      </c>
      <c r="D1532">
        <v>14067588</v>
      </c>
    </row>
    <row r="1533" spans="1:4" x14ac:dyDescent="0.25">
      <c r="A1533" t="str">
        <f>T("   870422")</f>
        <v xml:space="preserve">   870422</v>
      </c>
      <c r="B1533" t="str">
        <f>T("   D'UN POIDS EN CHARGE MAXIMAL EXCEDANT 5 TONNES MAIS N'EXCEDANT PAS 20 TONNES")</f>
        <v xml:space="preserve">   D'UN POIDS EN CHARGE MAXIMAL EXCEDANT 5 TONNES MAIS N'EXCEDANT PAS 20 TONNES</v>
      </c>
      <c r="C1533">
        <v>88696</v>
      </c>
      <c r="D1533">
        <v>133674156</v>
      </c>
    </row>
    <row r="1534" spans="1:4" x14ac:dyDescent="0.25">
      <c r="A1534" t="str">
        <f>T("   870510")</f>
        <v xml:space="preserve">   870510</v>
      </c>
      <c r="B1534" t="str">
        <f>T("   CAMIONSGRUES")</f>
        <v xml:space="preserve">   CAMIONSGRUES</v>
      </c>
      <c r="C1534">
        <v>7000</v>
      </c>
      <c r="D1534">
        <v>1800000</v>
      </c>
    </row>
    <row r="1535" spans="1:4" x14ac:dyDescent="0.25">
      <c r="A1535" t="str">
        <f>T("   901530")</f>
        <v xml:space="preserve">   901530</v>
      </c>
      <c r="B1535" t="str">
        <f>T("   Niveaux")</f>
        <v xml:space="preserve">   Niveaux</v>
      </c>
      <c r="C1535">
        <v>3400</v>
      </c>
      <c r="D1535">
        <v>804762</v>
      </c>
    </row>
    <row r="1536" spans="1:4" x14ac:dyDescent="0.25">
      <c r="A1536" t="str">
        <f>T("   901580")</f>
        <v xml:space="preserve">   901580</v>
      </c>
      <c r="B1536" t="str">
        <f>T("   AUTRES INSTRUMENTS ET APPAREILS")</f>
        <v xml:space="preserve">   AUTRES INSTRUMENTS ET APPAREILS</v>
      </c>
      <c r="C1536">
        <v>300</v>
      </c>
      <c r="D1536">
        <v>5200000</v>
      </c>
    </row>
    <row r="1537" spans="1:4" x14ac:dyDescent="0.25">
      <c r="A1537" t="str">
        <f>T("   901890")</f>
        <v xml:space="preserve">   901890</v>
      </c>
      <c r="B1537" t="str">
        <f>T("   AUTRES INSTRUMENTS ET APPAREILS")</f>
        <v xml:space="preserve">   AUTRES INSTRUMENTS ET APPAREILS</v>
      </c>
      <c r="C1537">
        <v>7000</v>
      </c>
      <c r="D1537">
        <v>360000</v>
      </c>
    </row>
    <row r="1538" spans="1:4" x14ac:dyDescent="0.25">
      <c r="A1538" t="str">
        <f>T("   940310")</f>
        <v xml:space="preserve">   940310</v>
      </c>
      <c r="B1538" t="str">
        <f>T("   MEUBLES EN METAL DES TYPES UTILISES DANS LES BUREAUX")</f>
        <v xml:space="preserve">   MEUBLES EN METAL DES TYPES UTILISES DANS LES BUREAUX</v>
      </c>
      <c r="C1538">
        <v>2000</v>
      </c>
      <c r="D1538">
        <v>8092000</v>
      </c>
    </row>
    <row r="1539" spans="1:4" x14ac:dyDescent="0.25">
      <c r="A1539" t="str">
        <f>T("   940350")</f>
        <v xml:space="preserve">   940350</v>
      </c>
      <c r="B1539" t="str">
        <f>T("   MEUBLES EN BOIS DES TYPES UTILISES DANS LES CHAMBRES A COUCHER")</f>
        <v xml:space="preserve">   MEUBLES EN BOIS DES TYPES UTILISES DANS LES CHAMBRES A COUCHER</v>
      </c>
      <c r="C1539">
        <v>3571</v>
      </c>
      <c r="D1539">
        <v>3100000</v>
      </c>
    </row>
    <row r="1540" spans="1:4" x14ac:dyDescent="0.25">
      <c r="A1540" t="str">
        <f>T("   940360")</f>
        <v xml:space="preserve">   940360</v>
      </c>
      <c r="B1540" t="str">
        <f>T("   Autres meubles en bois")</f>
        <v xml:space="preserve">   Autres meubles en bois</v>
      </c>
      <c r="C1540">
        <v>35800</v>
      </c>
      <c r="D1540">
        <v>6800000</v>
      </c>
    </row>
    <row r="1541" spans="1:4" x14ac:dyDescent="0.25">
      <c r="A1541" t="str">
        <f>T("   940370")</f>
        <v xml:space="preserve">   940370</v>
      </c>
      <c r="B1541" t="str">
        <f>T("   MEUBLES EN MATIERES PLASTIQUES")</f>
        <v xml:space="preserve">   MEUBLES EN MATIERES PLASTIQUES</v>
      </c>
      <c r="C1541">
        <v>56368</v>
      </c>
      <c r="D1541">
        <v>78803250</v>
      </c>
    </row>
    <row r="1542" spans="1:4" x14ac:dyDescent="0.25">
      <c r="A1542" t="str">
        <f>T("   940490")</f>
        <v xml:space="preserve">   940490</v>
      </c>
      <c r="B1542" t="str">
        <f>T("   AUTRES")</f>
        <v xml:space="preserve">   AUTRES</v>
      </c>
      <c r="C1542">
        <v>1920</v>
      </c>
      <c r="D1542">
        <v>2878738</v>
      </c>
    </row>
    <row r="1543" spans="1:4" x14ac:dyDescent="0.25">
      <c r="A1543" t="str">
        <f>T("   940600")</f>
        <v xml:space="preserve">   940600</v>
      </c>
      <c r="B1543" t="str">
        <f>T("   CONSTRUCTIONS PREFABRIQUEES.")</f>
        <v xml:space="preserve">   CONSTRUCTIONS PREFABRIQUEES.</v>
      </c>
      <c r="C1543">
        <v>7000</v>
      </c>
      <c r="D1543">
        <v>7910000</v>
      </c>
    </row>
    <row r="1544" spans="1:4" x14ac:dyDescent="0.25">
      <c r="A1544" t="str">
        <f>T("   950300")</f>
        <v xml:space="preserve">   950300</v>
      </c>
      <c r="B1544" t="str">
        <f>T("   TRICYCLES, TROTTINETTES, AUTOS A PEDALES ET JOUETS A ROUES SIMILAIRES; LANDAUS ET POUSS")</f>
        <v xml:space="preserve">   TRICYCLES, TROTTINETTES, AUTOS A PEDALES ET JOUETS A ROUES SIMILAIRES; LANDAUS ET POUSS</v>
      </c>
      <c r="C1544">
        <v>500</v>
      </c>
      <c r="D1544">
        <v>500000</v>
      </c>
    </row>
    <row r="1545" spans="1:4" s="1" customFormat="1" x14ac:dyDescent="0.25">
      <c r="A1545" s="1" t="str">
        <f>T("   ZZ_Total_Produit_SH6")</f>
        <v xml:space="preserve">   ZZ_Total_Produit_SH6</v>
      </c>
      <c r="B1545" s="1" t="str">
        <f>T("   ZZ_Total_Produit_SH6")</f>
        <v xml:space="preserve">   ZZ_Total_Produit_SH6</v>
      </c>
      <c r="C1545" s="1">
        <v>50310497</v>
      </c>
      <c r="D1545" s="1">
        <v>5126377081</v>
      </c>
    </row>
    <row r="1546" spans="1:4" s="1" customFormat="1" x14ac:dyDescent="0.25">
      <c r="B1546" s="1" t="str">
        <f>T("Thaïlande")</f>
        <v>Thaïlande</v>
      </c>
    </row>
    <row r="1547" spans="1:4" x14ac:dyDescent="0.25">
      <c r="A1547" t="str">
        <f>T("   120799")</f>
        <v xml:space="preserve">   120799</v>
      </c>
      <c r="B1547" t="str">
        <f>T("   AUTRES")</f>
        <v xml:space="preserve">   AUTRES</v>
      </c>
      <c r="C1547">
        <v>129913</v>
      </c>
      <c r="D1547">
        <v>2598260</v>
      </c>
    </row>
    <row r="1548" spans="1:4" x14ac:dyDescent="0.25">
      <c r="A1548" t="str">
        <f>T("   121230")</f>
        <v xml:space="preserve">   121230</v>
      </c>
      <c r="B1548" t="str">
        <f>T("   NOYAUX,AMANDES D'ABRICOTS,PECHES,PRUNES,DESTINES A L'ALIMENTATION HUMAINE")</f>
        <v xml:space="preserve">   NOYAUX,AMANDES D'ABRICOTS,PECHES,PRUNES,DESTINES A L'ALIMENTATION HUMAINE</v>
      </c>
      <c r="C1548">
        <v>1082</v>
      </c>
      <c r="D1548">
        <v>4742890</v>
      </c>
    </row>
    <row r="1549" spans="1:4" x14ac:dyDescent="0.25">
      <c r="A1549" t="str">
        <f>T("   520100")</f>
        <v xml:space="preserve">   520100</v>
      </c>
      <c r="B1549" t="str">
        <f>T("   COTON, NON CARDE NI PEIGNE.")</f>
        <v xml:space="preserve">   COTON, NON CARDE NI PEIGNE.</v>
      </c>
      <c r="C1549">
        <v>1663553</v>
      </c>
      <c r="D1549">
        <v>1553503379</v>
      </c>
    </row>
    <row r="1550" spans="1:4" x14ac:dyDescent="0.25">
      <c r="A1550" t="str">
        <f>T("   720449")</f>
        <v xml:space="preserve">   720449</v>
      </c>
      <c r="B1550" t="str">
        <f>T("   AUTRES")</f>
        <v xml:space="preserve">   AUTRES</v>
      </c>
      <c r="C1550">
        <v>20000</v>
      </c>
      <c r="D1550">
        <v>1000000</v>
      </c>
    </row>
    <row r="1551" spans="1:4" x14ac:dyDescent="0.25">
      <c r="A1551" t="str">
        <f>T("   940350")</f>
        <v xml:space="preserve">   940350</v>
      </c>
      <c r="B1551" t="str">
        <f>T("   MEUBLES EN BOIS DES TYPES UTILISES DANS LES CHAMBRES A COUCHER")</f>
        <v xml:space="preserve">   MEUBLES EN BOIS DES TYPES UTILISES DANS LES CHAMBRES A COUCHER</v>
      </c>
      <c r="C1551">
        <v>3000</v>
      </c>
      <c r="D1551">
        <v>1700000</v>
      </c>
    </row>
    <row r="1552" spans="1:4" s="1" customFormat="1" x14ac:dyDescent="0.25">
      <c r="A1552" s="1" t="str">
        <f>T("   ZZ_Total_Produit_SH6")</f>
        <v xml:space="preserve">   ZZ_Total_Produit_SH6</v>
      </c>
      <c r="B1552" s="1" t="str">
        <f>T("   ZZ_Total_Produit_SH6")</f>
        <v xml:space="preserve">   ZZ_Total_Produit_SH6</v>
      </c>
      <c r="C1552" s="1">
        <v>1817548</v>
      </c>
      <c r="D1552" s="1">
        <v>1563544529</v>
      </c>
    </row>
    <row r="1553" spans="1:4" s="1" customFormat="1" x14ac:dyDescent="0.25">
      <c r="B1553" s="1" t="str">
        <f>T("Tunisie")</f>
        <v>Tunisie</v>
      </c>
    </row>
    <row r="1554" spans="1:4" x14ac:dyDescent="0.25">
      <c r="A1554" t="str">
        <f>T("   080211")</f>
        <v xml:space="preserve">   080211</v>
      </c>
      <c r="B1554" t="str">
        <f>T("   EN COQUES")</f>
        <v xml:space="preserve">   EN COQUES</v>
      </c>
      <c r="C1554">
        <v>3870</v>
      </c>
      <c r="D1554">
        <v>677250</v>
      </c>
    </row>
    <row r="1555" spans="1:4" x14ac:dyDescent="0.25">
      <c r="A1555" t="str">
        <f>T("   520100")</f>
        <v xml:space="preserve">   520100</v>
      </c>
      <c r="B1555" t="str">
        <f>T("   COTON, NON CARDE NI PEIGNE.")</f>
        <v xml:space="preserve">   COTON, NON CARDE NI PEIGNE.</v>
      </c>
      <c r="C1555">
        <v>399747</v>
      </c>
      <c r="D1555">
        <v>369963054</v>
      </c>
    </row>
    <row r="1556" spans="1:4" x14ac:dyDescent="0.25">
      <c r="A1556" t="str">
        <f>T("   620590")</f>
        <v xml:space="preserve">   620590</v>
      </c>
      <c r="B1556" t="str">
        <f>T("   D'AUTRES MATIERES TEXTILES")</f>
        <v xml:space="preserve">   D'AUTRES MATIERES TEXTILES</v>
      </c>
      <c r="C1556">
        <v>500</v>
      </c>
      <c r="D1556">
        <v>1000000</v>
      </c>
    </row>
    <row r="1557" spans="1:4" x14ac:dyDescent="0.25">
      <c r="A1557" t="str">
        <f>T("   732394")</f>
        <v xml:space="preserve">   732394</v>
      </c>
      <c r="B1557" t="str">
        <f>T("   EN FER OU EN ACIER, EMAILLES")</f>
        <v xml:space="preserve">   EN FER OU EN ACIER, EMAILLES</v>
      </c>
      <c r="C1557">
        <v>370</v>
      </c>
      <c r="D1557">
        <v>500000</v>
      </c>
    </row>
    <row r="1558" spans="1:4" x14ac:dyDescent="0.25">
      <c r="A1558" t="str">
        <f>T("   870421")</f>
        <v xml:space="preserve">   870421</v>
      </c>
      <c r="B1558" t="str">
        <f>T("   D'UN POIDS EN CHARGE MAXIMAL N'EXCEDANT PAS 5 TONNES")</f>
        <v xml:space="preserve">   D'UN POIDS EN CHARGE MAXIMAL N'EXCEDANT PAS 5 TONNES</v>
      </c>
      <c r="C1558">
        <v>1430</v>
      </c>
      <c r="D1558">
        <v>3765210</v>
      </c>
    </row>
    <row r="1559" spans="1:4" x14ac:dyDescent="0.25">
      <c r="A1559" t="str">
        <f>T("   940350")</f>
        <v xml:space="preserve">   940350</v>
      </c>
      <c r="B1559" t="str">
        <f>T("   MEUBLES EN BOIS DES TYPES UTILISES DANS LES CHAMBRES A COUCHER")</f>
        <v xml:space="preserve">   MEUBLES EN BOIS DES TYPES UTILISES DANS LES CHAMBRES A COUCHER</v>
      </c>
      <c r="C1559">
        <v>1700</v>
      </c>
      <c r="D1559">
        <v>2500000</v>
      </c>
    </row>
    <row r="1560" spans="1:4" s="1" customFormat="1" x14ac:dyDescent="0.25">
      <c r="A1560" s="1" t="str">
        <f>T("   ZZ_Total_Produit_SH6")</f>
        <v xml:space="preserve">   ZZ_Total_Produit_SH6</v>
      </c>
      <c r="B1560" s="1" t="str">
        <f>T("   ZZ_Total_Produit_SH6")</f>
        <v xml:space="preserve">   ZZ_Total_Produit_SH6</v>
      </c>
      <c r="C1560" s="1">
        <v>407617</v>
      </c>
      <c r="D1560" s="1">
        <v>378405514</v>
      </c>
    </row>
    <row r="1561" spans="1:4" s="1" customFormat="1" x14ac:dyDescent="0.25">
      <c r="B1561" s="1" t="str">
        <f>T("Turquie")</f>
        <v>Turquie</v>
      </c>
    </row>
    <row r="1562" spans="1:4" x14ac:dyDescent="0.25">
      <c r="A1562" t="str">
        <f>T("   080131")</f>
        <v xml:space="preserve">   080131</v>
      </c>
      <c r="B1562" t="str">
        <f>T("   EN COQUES")</f>
        <v xml:space="preserve">   EN COQUES</v>
      </c>
      <c r="C1562">
        <v>91080</v>
      </c>
      <c r="D1562">
        <v>17716000</v>
      </c>
    </row>
    <row r="1563" spans="1:4" x14ac:dyDescent="0.25">
      <c r="A1563" t="str">
        <f>T("   080211")</f>
        <v xml:space="preserve">   080211</v>
      </c>
      <c r="B1563" t="str">
        <f>T("   EN COQUES")</f>
        <v xml:space="preserve">   EN COQUES</v>
      </c>
      <c r="C1563">
        <v>33657</v>
      </c>
      <c r="D1563">
        <v>97496382</v>
      </c>
    </row>
    <row r="1564" spans="1:4" x14ac:dyDescent="0.25">
      <c r="A1564" t="str">
        <f>T("   120799")</f>
        <v xml:space="preserve">   120799</v>
      </c>
      <c r="B1564" t="str">
        <f>T("   AUTRES")</f>
        <v xml:space="preserve">   AUTRES</v>
      </c>
      <c r="C1564">
        <v>10000</v>
      </c>
      <c r="D1564">
        <v>2229600</v>
      </c>
    </row>
    <row r="1565" spans="1:4" x14ac:dyDescent="0.25">
      <c r="A1565" t="str">
        <f>T("   251110")</f>
        <v xml:space="preserve">   251110</v>
      </c>
      <c r="B1565" t="str">
        <f>T("   SULFATE DE BARYUM NATUREL (BARYTINE)")</f>
        <v xml:space="preserve">   SULFATE DE BARYUM NATUREL (BARYTINE)</v>
      </c>
      <c r="C1565">
        <v>978709</v>
      </c>
      <c r="D1565">
        <v>381460033</v>
      </c>
    </row>
    <row r="1566" spans="1:4" x14ac:dyDescent="0.25">
      <c r="A1566" t="str">
        <f>T("   340290")</f>
        <v xml:space="preserve">   340290</v>
      </c>
      <c r="B1566" t="str">
        <f t="shared" ref="B1566:B1571" si="2">T("   AUTRES")</f>
        <v xml:space="preserve">   AUTRES</v>
      </c>
      <c r="C1566">
        <v>33034</v>
      </c>
      <c r="D1566">
        <v>255617381</v>
      </c>
    </row>
    <row r="1567" spans="1:4" x14ac:dyDescent="0.25">
      <c r="A1567" t="str">
        <f>T("   440399")</f>
        <v xml:space="preserve">   440399</v>
      </c>
      <c r="B1567" t="str">
        <f t="shared" si="2"/>
        <v xml:space="preserve">   AUTRES</v>
      </c>
      <c r="C1567">
        <v>10000</v>
      </c>
      <c r="D1567">
        <v>500000</v>
      </c>
    </row>
    <row r="1568" spans="1:4" x14ac:dyDescent="0.25">
      <c r="A1568" t="str">
        <f>T("   730799")</f>
        <v xml:space="preserve">   730799</v>
      </c>
      <c r="B1568" t="str">
        <f t="shared" si="2"/>
        <v xml:space="preserve">   AUTRES</v>
      </c>
      <c r="C1568">
        <v>2000</v>
      </c>
      <c r="D1568">
        <v>6581687</v>
      </c>
    </row>
    <row r="1569" spans="1:4" x14ac:dyDescent="0.25">
      <c r="A1569" t="str">
        <f>T("   731029")</f>
        <v xml:space="preserve">   731029</v>
      </c>
      <c r="B1569" t="str">
        <f t="shared" si="2"/>
        <v xml:space="preserve">   AUTRES</v>
      </c>
      <c r="C1569">
        <v>826500</v>
      </c>
      <c r="D1569">
        <v>836058497</v>
      </c>
    </row>
    <row r="1570" spans="1:4" x14ac:dyDescent="0.25">
      <c r="A1570" t="str">
        <f>T("   732619")</f>
        <v xml:space="preserve">   732619</v>
      </c>
      <c r="B1570" t="str">
        <f t="shared" si="2"/>
        <v xml:space="preserve">   AUTRES</v>
      </c>
      <c r="C1570">
        <v>41005</v>
      </c>
      <c r="D1570">
        <v>894880928</v>
      </c>
    </row>
    <row r="1571" spans="1:4" x14ac:dyDescent="0.25">
      <c r="A1571" t="str">
        <f>T("   820559")</f>
        <v xml:space="preserve">   820559</v>
      </c>
      <c r="B1571" t="str">
        <f t="shared" si="2"/>
        <v xml:space="preserve">   AUTRES</v>
      </c>
      <c r="C1571">
        <v>2528</v>
      </c>
      <c r="D1571">
        <v>38851522</v>
      </c>
    </row>
    <row r="1572" spans="1:4" x14ac:dyDescent="0.25">
      <c r="A1572" t="str">
        <f>T("   842121")</f>
        <v xml:space="preserve">   842121</v>
      </c>
      <c r="B1572" t="str">
        <f>T("   POUR LA FILTRATION OU L'EPURATION DES EAUX")</f>
        <v xml:space="preserve">   POUR LA FILTRATION OU L'EPURATION DES EAUX</v>
      </c>
      <c r="C1572">
        <v>60835</v>
      </c>
      <c r="D1572">
        <v>717480487</v>
      </c>
    </row>
    <row r="1573" spans="1:4" x14ac:dyDescent="0.25">
      <c r="A1573" t="str">
        <f>T("   842539")</f>
        <v xml:space="preserve">   842539</v>
      </c>
      <c r="B1573" t="str">
        <f>T("   AUTRES")</f>
        <v xml:space="preserve">   AUTRES</v>
      </c>
      <c r="C1573">
        <v>34292</v>
      </c>
      <c r="D1573">
        <v>333477298</v>
      </c>
    </row>
    <row r="1574" spans="1:4" x14ac:dyDescent="0.25">
      <c r="A1574" t="str">
        <f>T("   842549")</f>
        <v xml:space="preserve">   842549</v>
      </c>
      <c r="B1574" t="str">
        <f>T("   AUTRES")</f>
        <v xml:space="preserve">   AUTRES</v>
      </c>
      <c r="C1574">
        <v>25000</v>
      </c>
      <c r="D1574">
        <v>89156743</v>
      </c>
    </row>
    <row r="1575" spans="1:4" x14ac:dyDescent="0.25">
      <c r="A1575" t="str">
        <f>T("   843139")</f>
        <v xml:space="preserve">   843139</v>
      </c>
      <c r="B1575" t="str">
        <f>T("   AUTRES")</f>
        <v xml:space="preserve">   AUTRES</v>
      </c>
      <c r="C1575">
        <v>2825</v>
      </c>
      <c r="D1575">
        <v>497896</v>
      </c>
    </row>
    <row r="1576" spans="1:4" x14ac:dyDescent="0.25">
      <c r="A1576" t="str">
        <f>T("   843143")</f>
        <v xml:space="preserve">   843143</v>
      </c>
      <c r="B1576" t="str">
        <f>T("   PARTIES DE MACHINES DE SONDAGE OU DE FORAGE DES N°S 8430.41 OU 8430.49")</f>
        <v xml:space="preserve">   PARTIES DE MACHINES DE SONDAGE OU DE FORAGE DES N°S 8430.41 OU 8430.49</v>
      </c>
      <c r="C1576">
        <v>2064250</v>
      </c>
      <c r="D1576">
        <v>11199334409</v>
      </c>
    </row>
    <row r="1577" spans="1:4" x14ac:dyDescent="0.25">
      <c r="A1577" t="str">
        <f>T("   847990")</f>
        <v xml:space="preserve">   847990</v>
      </c>
      <c r="B1577" t="str">
        <f>T("   PARTIES")</f>
        <v xml:space="preserve">   PARTIES</v>
      </c>
      <c r="C1577">
        <v>6</v>
      </c>
      <c r="D1577">
        <v>99579</v>
      </c>
    </row>
    <row r="1578" spans="1:4" x14ac:dyDescent="0.25">
      <c r="A1578" t="str">
        <f>T("   850520")</f>
        <v xml:space="preserve">   850520</v>
      </c>
      <c r="B1578" t="str">
        <f>T("   ACCOUPLEMENTS, EMBRAYAGES, VARIATEURS DE VITESSE ET FREINS ELECTROMAGNETIQUES")</f>
        <v xml:space="preserve">   ACCOUPLEMENTS, EMBRAYAGES, VARIATEURS DE VITESSE ET FREINS ELECTROMAGNETIQUES</v>
      </c>
      <c r="C1578">
        <v>21</v>
      </c>
      <c r="D1578">
        <v>196788</v>
      </c>
    </row>
    <row r="1579" spans="1:4" x14ac:dyDescent="0.25">
      <c r="A1579" t="str">
        <f>T("   850590")</f>
        <v xml:space="preserve">   850590</v>
      </c>
      <c r="B1579" t="str">
        <f>T("   AUTRES, Y COMPRIS LES PARTIES")</f>
        <v xml:space="preserve">   AUTRES, Y COMPRIS LES PARTIES</v>
      </c>
      <c r="C1579">
        <v>23</v>
      </c>
      <c r="D1579">
        <v>347775</v>
      </c>
    </row>
    <row r="1580" spans="1:4" x14ac:dyDescent="0.25">
      <c r="A1580" t="str">
        <f>T("   851770")</f>
        <v xml:space="preserve">   851770</v>
      </c>
      <c r="B1580" t="str">
        <f>T("   PARTIES")</f>
        <v xml:space="preserve">   PARTIES</v>
      </c>
      <c r="C1580">
        <v>25909</v>
      </c>
      <c r="D1580">
        <v>409018577</v>
      </c>
    </row>
    <row r="1581" spans="1:4" x14ac:dyDescent="0.25">
      <c r="A1581" t="str">
        <f>T("   854470")</f>
        <v xml:space="preserve">   854470</v>
      </c>
      <c r="B1581" t="str">
        <f>T("   Cables de fibres optiques")</f>
        <v xml:space="preserve">   Cables de fibres optiques</v>
      </c>
      <c r="C1581">
        <v>4100</v>
      </c>
      <c r="D1581">
        <v>7830908</v>
      </c>
    </row>
    <row r="1582" spans="1:4" x14ac:dyDescent="0.25">
      <c r="A1582" t="str">
        <f>T("   860900")</f>
        <v xml:space="preserve">   860900</v>
      </c>
      <c r="B1582" t="str">
        <f>T("   CADRES ET CONTENEURS (Y COMPRIS LES CONTENEURSCITERNES ET LES CONTENEURSRESERVOIRS) S")</f>
        <v xml:space="preserve">   CADRES ET CONTENEURS (Y COMPRIS LES CONTENEURSCITERNES ET LES CONTENEURSRESERVOIRS) S</v>
      </c>
      <c r="C1582">
        <v>84822</v>
      </c>
      <c r="D1582">
        <v>178162897</v>
      </c>
    </row>
    <row r="1583" spans="1:4" x14ac:dyDescent="0.25">
      <c r="A1583" t="str">
        <f>T("   901590")</f>
        <v xml:space="preserve">   901590</v>
      </c>
      <c r="B1583" t="str">
        <f>T("   PARTIES ET ACCESSOIRES")</f>
        <v xml:space="preserve">   PARTIES ET ACCESSOIRES</v>
      </c>
      <c r="C1583">
        <v>86000</v>
      </c>
      <c r="D1583">
        <v>1386941089</v>
      </c>
    </row>
    <row r="1584" spans="1:4" x14ac:dyDescent="0.25">
      <c r="A1584" t="str">
        <f>T("   903031")</f>
        <v xml:space="preserve">   903031</v>
      </c>
      <c r="B1584" t="str">
        <f>T("   MULTIMETRES, SANS DISPOSITIF ENREGISTREUR")</f>
        <v xml:space="preserve">   MULTIMETRES, SANS DISPOSITIF ENREGISTREUR</v>
      </c>
      <c r="C1584">
        <v>153</v>
      </c>
      <c r="D1584">
        <v>2356293</v>
      </c>
    </row>
    <row r="1585" spans="1:4" x14ac:dyDescent="0.25">
      <c r="A1585" t="str">
        <f>T("   903089")</f>
        <v xml:space="preserve">   903089</v>
      </c>
      <c r="B1585" t="str">
        <f>T("   AUTRES")</f>
        <v xml:space="preserve">   AUTRES</v>
      </c>
      <c r="C1585">
        <v>50100</v>
      </c>
      <c r="D1585">
        <v>1881777020</v>
      </c>
    </row>
    <row r="1586" spans="1:4" s="1" customFormat="1" x14ac:dyDescent="0.25">
      <c r="A1586" s="1" t="str">
        <f>T("   ZZ_Total_Produit_SH6")</f>
        <v xml:space="preserve">   ZZ_Total_Produit_SH6</v>
      </c>
      <c r="B1586" s="1" t="str">
        <f>T("   ZZ_Total_Produit_SH6")</f>
        <v xml:space="preserve">   ZZ_Total_Produit_SH6</v>
      </c>
      <c r="C1586" s="1">
        <v>4466849</v>
      </c>
      <c r="D1586" s="1">
        <v>18738069789</v>
      </c>
    </row>
    <row r="1587" spans="1:4" s="1" customFormat="1" x14ac:dyDescent="0.25">
      <c r="B1587" s="1" t="str">
        <f>T("Taïwan, Province de Chine")</f>
        <v>Taïwan, Province de Chine</v>
      </c>
    </row>
    <row r="1588" spans="1:4" x14ac:dyDescent="0.25">
      <c r="A1588" t="str">
        <f>T("   520100")</f>
        <v xml:space="preserve">   520100</v>
      </c>
      <c r="B1588" t="str">
        <f>T("   COTON, NON CARDE NI PEIGNE.")</f>
        <v xml:space="preserve">   COTON, NON CARDE NI PEIGNE.</v>
      </c>
      <c r="C1588">
        <v>2087506</v>
      </c>
      <c r="D1588">
        <v>1284446403</v>
      </c>
    </row>
    <row r="1589" spans="1:4" x14ac:dyDescent="0.25">
      <c r="A1589" t="str">
        <f>T("   720429")</f>
        <v xml:space="preserve">   720429</v>
      </c>
      <c r="B1589" t="str">
        <f>T("   AUTRES")</f>
        <v xml:space="preserve">   AUTRES</v>
      </c>
      <c r="C1589">
        <v>20000</v>
      </c>
      <c r="D1589">
        <v>1000000</v>
      </c>
    </row>
    <row r="1590" spans="1:4" s="1" customFormat="1" x14ac:dyDescent="0.25">
      <c r="A1590" s="1" t="str">
        <f>T("   ZZ_Total_Produit_SH6")</f>
        <v xml:space="preserve">   ZZ_Total_Produit_SH6</v>
      </c>
      <c r="B1590" s="1" t="str">
        <f>T("   ZZ_Total_Produit_SH6")</f>
        <v xml:space="preserve">   ZZ_Total_Produit_SH6</v>
      </c>
      <c r="C1590" s="1">
        <v>2107506</v>
      </c>
      <c r="D1590" s="1">
        <v>1285446403</v>
      </c>
    </row>
    <row r="1591" spans="1:4" s="1" customFormat="1" x14ac:dyDescent="0.25">
      <c r="B1591" s="1" t="str">
        <f>T("Tanzanie")</f>
        <v>Tanzanie</v>
      </c>
    </row>
    <row r="1592" spans="1:4" x14ac:dyDescent="0.25">
      <c r="A1592" t="str">
        <f>T("   490199")</f>
        <v xml:space="preserve">   490199</v>
      </c>
      <c r="B1592" t="str">
        <f>T("   AUTRES")</f>
        <v xml:space="preserve">   AUTRES</v>
      </c>
      <c r="C1592">
        <v>530</v>
      </c>
      <c r="D1592">
        <v>400000</v>
      </c>
    </row>
    <row r="1593" spans="1:4" x14ac:dyDescent="0.25">
      <c r="A1593" t="str">
        <f>T("   611490")</f>
        <v xml:space="preserve">   611490</v>
      </c>
      <c r="B1593" t="str">
        <f>T("   D'AUTRES MATIERES TEXTILES")</f>
        <v xml:space="preserve">   D'AUTRES MATIERES TEXTILES</v>
      </c>
      <c r="C1593">
        <v>8000</v>
      </c>
      <c r="D1593">
        <v>3500000</v>
      </c>
    </row>
    <row r="1594" spans="1:4" x14ac:dyDescent="0.25">
      <c r="A1594" t="str">
        <f>T("   843049")</f>
        <v xml:space="preserve">   843049</v>
      </c>
      <c r="B1594" t="str">
        <f>T("   AUTRES")</f>
        <v xml:space="preserve">   AUTRES</v>
      </c>
      <c r="C1594">
        <v>164</v>
      </c>
      <c r="D1594">
        <v>27259806</v>
      </c>
    </row>
    <row r="1595" spans="1:4" s="1" customFormat="1" x14ac:dyDescent="0.25">
      <c r="A1595" s="1" t="str">
        <f>T("   ZZ_Total_Produit_SH6")</f>
        <v xml:space="preserve">   ZZ_Total_Produit_SH6</v>
      </c>
      <c r="B1595" s="1" t="str">
        <f>T("   ZZ_Total_Produit_SH6")</f>
        <v xml:space="preserve">   ZZ_Total_Produit_SH6</v>
      </c>
      <c r="C1595" s="1">
        <v>8694</v>
      </c>
      <c r="D1595" s="1">
        <v>31159806</v>
      </c>
    </row>
    <row r="1596" spans="1:4" s="1" customFormat="1" x14ac:dyDescent="0.25">
      <c r="B1596" s="1" t="str">
        <f>T("Ukraine")</f>
        <v>Ukraine</v>
      </c>
    </row>
    <row r="1597" spans="1:4" x14ac:dyDescent="0.25">
      <c r="A1597" t="str">
        <f>T("   820750")</f>
        <v xml:space="preserve">   820750</v>
      </c>
      <c r="B1597" t="str">
        <f>T("   OUTILS A PERCER")</f>
        <v xml:space="preserve">   OUTILS A PERCER</v>
      </c>
      <c r="C1597">
        <v>8551</v>
      </c>
      <c r="D1597">
        <v>28138095</v>
      </c>
    </row>
    <row r="1598" spans="1:4" x14ac:dyDescent="0.25">
      <c r="A1598" t="str">
        <f>T("   843143")</f>
        <v xml:space="preserve">   843143</v>
      </c>
      <c r="B1598" t="str">
        <f>T("   PARTIES DE MACHINES DE SONDAGE OU DE FORAGE DES N°S 8430.41 OU 8430.49")</f>
        <v xml:space="preserve">   PARTIES DE MACHINES DE SONDAGE OU DE FORAGE DES N°S 8430.41 OU 8430.49</v>
      </c>
      <c r="C1598">
        <v>2</v>
      </c>
      <c r="D1598">
        <v>531753</v>
      </c>
    </row>
    <row r="1599" spans="1:4" s="1" customFormat="1" x14ac:dyDescent="0.25">
      <c r="A1599" s="1" t="str">
        <f>T("   ZZ_Total_Produit_SH6")</f>
        <v xml:space="preserve">   ZZ_Total_Produit_SH6</v>
      </c>
      <c r="B1599" s="1" t="str">
        <f>T("   ZZ_Total_Produit_SH6")</f>
        <v xml:space="preserve">   ZZ_Total_Produit_SH6</v>
      </c>
      <c r="C1599" s="1">
        <v>8553</v>
      </c>
      <c r="D1599" s="1">
        <v>28669848</v>
      </c>
    </row>
    <row r="1600" spans="1:4" s="1" customFormat="1" x14ac:dyDescent="0.25">
      <c r="B1600" s="1" t="str">
        <f>T("Ouganda")</f>
        <v>Ouganda</v>
      </c>
    </row>
    <row r="1601" spans="1:4" x14ac:dyDescent="0.25">
      <c r="A1601" t="str">
        <f>T("   010690")</f>
        <v xml:space="preserve">   010690</v>
      </c>
      <c r="B1601" t="str">
        <f>T("   AUTRES")</f>
        <v xml:space="preserve">   AUTRES</v>
      </c>
      <c r="C1601">
        <v>400</v>
      </c>
      <c r="D1601">
        <v>500000</v>
      </c>
    </row>
    <row r="1602" spans="1:4" x14ac:dyDescent="0.25">
      <c r="A1602" t="str">
        <f>T("   080520")</f>
        <v xml:space="preserve">   080520</v>
      </c>
      <c r="B1602" t="str">
        <f>T("   MANDARINES (Y COMPRIS LES TANGERINES ET SATSUMAS); CLEMENTINES, WILKINGS ET HYBRIDES")</f>
        <v xml:space="preserve">   MANDARINES (Y COMPRIS LES TANGERINES ET SATSUMAS); CLEMENTINES, WILKINGS ET HYBRIDES</v>
      </c>
      <c r="C1602">
        <v>18207</v>
      </c>
      <c r="D1602">
        <v>2000000</v>
      </c>
    </row>
    <row r="1603" spans="1:4" x14ac:dyDescent="0.25">
      <c r="A1603" t="str">
        <f>T("   620421")</f>
        <v xml:space="preserve">   620421</v>
      </c>
      <c r="B1603" t="str">
        <f>T("   DE LAINE OU DE POILS FINS")</f>
        <v xml:space="preserve">   DE LAINE OU DE POILS FINS</v>
      </c>
      <c r="C1603">
        <v>200</v>
      </c>
      <c r="D1603">
        <v>200000</v>
      </c>
    </row>
    <row r="1604" spans="1:4" x14ac:dyDescent="0.25">
      <c r="A1604" t="str">
        <f>T("   871110")</f>
        <v xml:space="preserve">   871110</v>
      </c>
      <c r="B1604" t="str">
        <f>T("   A MOTEUR A PISTON ALTERNATIF, D'UNE CYLINDREE N'EXCEDANT PAS 50 CM³")</f>
        <v xml:space="preserve">   A MOTEUR A PISTON ALTERNATIF, D'UNE CYLINDREE N'EXCEDANT PAS 50 CM³</v>
      </c>
      <c r="C1604">
        <v>794</v>
      </c>
      <c r="D1604">
        <v>300000</v>
      </c>
    </row>
    <row r="1605" spans="1:4" x14ac:dyDescent="0.25">
      <c r="A1605" t="str">
        <f>T("   901580")</f>
        <v xml:space="preserve">   901580</v>
      </c>
      <c r="B1605" t="str">
        <f>T("   AUTRES INSTRUMENTS ET APPAREILS")</f>
        <v xml:space="preserve">   AUTRES INSTRUMENTS ET APPAREILS</v>
      </c>
      <c r="C1605">
        <v>322</v>
      </c>
      <c r="D1605">
        <v>35420</v>
      </c>
    </row>
    <row r="1606" spans="1:4" s="1" customFormat="1" x14ac:dyDescent="0.25">
      <c r="A1606" s="1" t="str">
        <f>T("   ZZ_Total_Produit_SH6")</f>
        <v xml:space="preserve">   ZZ_Total_Produit_SH6</v>
      </c>
      <c r="B1606" s="1" t="str">
        <f>T("   ZZ_Total_Produit_SH6")</f>
        <v xml:space="preserve">   ZZ_Total_Produit_SH6</v>
      </c>
      <c r="C1606" s="1">
        <v>19923</v>
      </c>
      <c r="D1606" s="1">
        <v>3035420</v>
      </c>
    </row>
    <row r="1607" spans="1:4" s="1" customFormat="1" x14ac:dyDescent="0.25">
      <c r="B1607" s="1" t="str">
        <f>T("Etats-Unis")</f>
        <v>Etats-Unis</v>
      </c>
    </row>
    <row r="1608" spans="1:4" x14ac:dyDescent="0.25">
      <c r="A1608" t="str">
        <f>T("   080132")</f>
        <v xml:space="preserve">   080132</v>
      </c>
      <c r="B1608" t="str">
        <f>T("   SANS COQUES")</f>
        <v xml:space="preserve">   SANS COQUES</v>
      </c>
      <c r="C1608">
        <v>85571</v>
      </c>
      <c r="D1608">
        <v>272192010</v>
      </c>
    </row>
    <row r="1609" spans="1:4" x14ac:dyDescent="0.25">
      <c r="A1609" t="str">
        <f>T("   080211")</f>
        <v xml:space="preserve">   080211</v>
      </c>
      <c r="B1609" t="str">
        <f>T("   EN COQUES")</f>
        <v xml:space="preserve">   EN COQUES</v>
      </c>
      <c r="C1609">
        <v>82923</v>
      </c>
      <c r="D1609">
        <v>249480037</v>
      </c>
    </row>
    <row r="1610" spans="1:4" x14ac:dyDescent="0.25">
      <c r="A1610" t="str">
        <f>T("   080212")</f>
        <v xml:space="preserve">   080212</v>
      </c>
      <c r="B1610" t="str">
        <f>T("   SANS COQUES")</f>
        <v xml:space="preserve">   SANS COQUES</v>
      </c>
      <c r="C1610">
        <v>275096</v>
      </c>
      <c r="D1610">
        <v>870007163</v>
      </c>
    </row>
    <row r="1611" spans="1:4" x14ac:dyDescent="0.25">
      <c r="A1611" t="str">
        <f>T("   110620")</f>
        <v xml:space="preserve">   110620</v>
      </c>
      <c r="B1611" t="str">
        <f>T("   DE SAGOU OU DES RACINES OU TUBERCULES DU N° 07.14")</f>
        <v xml:space="preserve">   DE SAGOU OU DES RACINES OU TUBERCULES DU N° 07.14</v>
      </c>
      <c r="C1611">
        <v>22490</v>
      </c>
      <c r="D1611">
        <v>3486225</v>
      </c>
    </row>
    <row r="1612" spans="1:4" x14ac:dyDescent="0.25">
      <c r="A1612" t="str">
        <f>T("   110630")</f>
        <v xml:space="preserve">   110630</v>
      </c>
      <c r="B1612" t="str">
        <f>T("   DES PRODUITS DU CHAPITRE 8")</f>
        <v xml:space="preserve">   DES PRODUITS DU CHAPITRE 8</v>
      </c>
      <c r="C1612">
        <v>6136</v>
      </c>
      <c r="D1612">
        <v>18008490</v>
      </c>
    </row>
    <row r="1613" spans="1:4" x14ac:dyDescent="0.25">
      <c r="A1613" t="str">
        <f>T("   251690")</f>
        <v xml:space="preserve">   251690</v>
      </c>
      <c r="B1613" t="str">
        <f>T("   AUTRES PIERRES DE TAILLE OU DE CONSTRUCTION")</f>
        <v xml:space="preserve">   AUTRES PIERRES DE TAILLE OU DE CONSTRUCTION</v>
      </c>
      <c r="C1613">
        <v>10000</v>
      </c>
      <c r="D1613">
        <v>16363028</v>
      </c>
    </row>
    <row r="1614" spans="1:4" x14ac:dyDescent="0.25">
      <c r="A1614" t="str">
        <f>T("   290516")</f>
        <v xml:space="preserve">   290516</v>
      </c>
      <c r="B1614" t="str">
        <f>T("   OCTANOL (ALCOOL OCTYLIQUE) ET SES ISOMERES")</f>
        <v xml:space="preserve">   OCTANOL (ALCOOL OCTYLIQUE) ET SES ISOMERES</v>
      </c>
      <c r="C1614">
        <v>140</v>
      </c>
      <c r="D1614">
        <v>1630296</v>
      </c>
    </row>
    <row r="1615" spans="1:4" x14ac:dyDescent="0.25">
      <c r="A1615" t="str">
        <f>T("   320490")</f>
        <v xml:space="preserve">   320490</v>
      </c>
      <c r="B1615" t="str">
        <f>T("   AUTRES")</f>
        <v xml:space="preserve">   AUTRES</v>
      </c>
      <c r="C1615">
        <v>50</v>
      </c>
      <c r="D1615">
        <v>304420</v>
      </c>
    </row>
    <row r="1616" spans="1:4" x14ac:dyDescent="0.25">
      <c r="A1616" t="str">
        <f>T("   340111")</f>
        <v xml:space="preserve">   340111</v>
      </c>
      <c r="B1616" t="str">
        <f>T("   DE TOILETTE (Y COMPRIS CEUX A USAGES MEDICAUX)")</f>
        <v xml:space="preserve">   DE TOILETTE (Y COMPRIS CEUX A USAGES MEDICAUX)</v>
      </c>
      <c r="C1616">
        <v>26830.45</v>
      </c>
      <c r="D1616">
        <v>33232422</v>
      </c>
    </row>
    <row r="1617" spans="1:4" x14ac:dyDescent="0.25">
      <c r="A1617" t="str">
        <f>T("   340290")</f>
        <v xml:space="preserve">   340290</v>
      </c>
      <c r="B1617" t="str">
        <f>T("   AUTRES")</f>
        <v xml:space="preserve">   AUTRES</v>
      </c>
      <c r="C1617">
        <v>79</v>
      </c>
      <c r="D1617">
        <v>475192</v>
      </c>
    </row>
    <row r="1618" spans="1:4" x14ac:dyDescent="0.25">
      <c r="A1618" t="str">
        <f>T("   391721")</f>
        <v xml:space="preserve">   391721</v>
      </c>
      <c r="B1618" t="str">
        <f>T("   EN POLYMERES DE L'ETHYLENE")</f>
        <v xml:space="preserve">   EN POLYMERES DE L'ETHYLENE</v>
      </c>
      <c r="C1618">
        <v>29</v>
      </c>
      <c r="D1618">
        <v>247454</v>
      </c>
    </row>
    <row r="1619" spans="1:4" x14ac:dyDescent="0.25">
      <c r="A1619" t="str">
        <f>T("   391910")</f>
        <v xml:space="preserve">   391910</v>
      </c>
      <c r="B1619" t="str">
        <f>T("   EN ROULEAUX D'UNE LARGEUR N'EXCEDANT PAS 20 CM")</f>
        <v xml:space="preserve">   EN ROULEAUX D'UNE LARGEUR N'EXCEDANT PAS 20 CM</v>
      </c>
      <c r="C1619">
        <v>6</v>
      </c>
      <c r="D1619">
        <v>55266</v>
      </c>
    </row>
    <row r="1620" spans="1:4" x14ac:dyDescent="0.25">
      <c r="A1620" t="str">
        <f>T("   392690")</f>
        <v xml:space="preserve">   392690</v>
      </c>
      <c r="B1620" t="str">
        <f>T("   AUTRES")</f>
        <v xml:space="preserve">   AUTRES</v>
      </c>
      <c r="C1620">
        <v>1466</v>
      </c>
      <c r="D1620">
        <v>5091257</v>
      </c>
    </row>
    <row r="1621" spans="1:4" x14ac:dyDescent="0.25">
      <c r="A1621" t="str">
        <f>T("   401695")</f>
        <v xml:space="preserve">   401695</v>
      </c>
      <c r="B1621" t="str">
        <f>T("   AUTRES ARTICLES GONFLABLES")</f>
        <v xml:space="preserve">   AUTRES ARTICLES GONFLABLES</v>
      </c>
      <c r="C1621">
        <v>220</v>
      </c>
      <c r="D1621">
        <v>15112329</v>
      </c>
    </row>
    <row r="1622" spans="1:4" x14ac:dyDescent="0.25">
      <c r="A1622" t="str">
        <f>T("   440399")</f>
        <v xml:space="preserve">   440399</v>
      </c>
      <c r="B1622" t="str">
        <f>T("   AUTRES")</f>
        <v xml:space="preserve">   AUTRES</v>
      </c>
      <c r="C1622">
        <v>15000</v>
      </c>
      <c r="D1622">
        <v>750000</v>
      </c>
    </row>
    <row r="1623" spans="1:4" x14ac:dyDescent="0.25">
      <c r="A1623" t="str">
        <f>T("   490199")</f>
        <v xml:space="preserve">   490199</v>
      </c>
      <c r="B1623" t="str">
        <f>T("   AUTRES")</f>
        <v xml:space="preserve">   AUTRES</v>
      </c>
      <c r="C1623">
        <v>25</v>
      </c>
      <c r="D1623">
        <v>150000</v>
      </c>
    </row>
    <row r="1624" spans="1:4" x14ac:dyDescent="0.25">
      <c r="A1624" t="str">
        <f>T("   491110")</f>
        <v xml:space="preserve">   491110</v>
      </c>
      <c r="B1624" t="str">
        <f>T("   IMPRIMES PUBLICITAIRES, CATALOGUES COMMERCIAUX ET SIMILAIRES")</f>
        <v xml:space="preserve">   IMPRIMES PUBLICITAIRES, CATALOGUES COMMERCIAUX ET SIMILAIRES</v>
      </c>
      <c r="C1624">
        <v>1000</v>
      </c>
      <c r="D1624">
        <v>248948</v>
      </c>
    </row>
    <row r="1625" spans="1:4" x14ac:dyDescent="0.25">
      <c r="A1625" t="str">
        <f>T("   611610")</f>
        <v xml:space="preserve">   611610</v>
      </c>
      <c r="B1625" t="str">
        <f>T("   IMPREGNES, ENDUITS OU RECOUVERTS DE MATIERES PLASTIQUES OU DE CAOUTCHOUC")</f>
        <v xml:space="preserve">   IMPREGNES, ENDUITS OU RECOUVERTS DE MATIERES PLASTIQUES OU DE CAOUTCHOUC</v>
      </c>
      <c r="C1625">
        <v>4.5</v>
      </c>
      <c r="D1625">
        <v>254977</v>
      </c>
    </row>
    <row r="1626" spans="1:4" x14ac:dyDescent="0.25">
      <c r="A1626" t="str">
        <f>T("   620349")</f>
        <v xml:space="preserve">   620349</v>
      </c>
      <c r="B1626" t="str">
        <f>T("   D'AUTRES MATIERES TEXTILES")</f>
        <v xml:space="preserve">   D'AUTRES MATIERES TEXTILES</v>
      </c>
      <c r="C1626">
        <v>1106</v>
      </c>
      <c r="D1626">
        <v>1000000</v>
      </c>
    </row>
    <row r="1627" spans="1:4" x14ac:dyDescent="0.25">
      <c r="A1627" t="str">
        <f>T("   620590")</f>
        <v xml:space="preserve">   620590</v>
      </c>
      <c r="B1627" t="str">
        <f>T("   D'AUTRES MATIERES TEXTILES")</f>
        <v xml:space="preserve">   D'AUTRES MATIERES TEXTILES</v>
      </c>
      <c r="C1627">
        <v>1325</v>
      </c>
      <c r="D1627">
        <v>1550000</v>
      </c>
    </row>
    <row r="1628" spans="1:4" x14ac:dyDescent="0.25">
      <c r="A1628" t="str">
        <f>T("   680229")</f>
        <v xml:space="preserve">   680229</v>
      </c>
      <c r="B1628" t="str">
        <f>T("   AUTRES PIERRES")</f>
        <v xml:space="preserve">   AUTRES PIERRES</v>
      </c>
      <c r="C1628">
        <v>24950</v>
      </c>
      <c r="D1628">
        <v>2000000</v>
      </c>
    </row>
    <row r="1629" spans="1:4" x14ac:dyDescent="0.25">
      <c r="A1629" t="str">
        <f>T("   711790")</f>
        <v xml:space="preserve">   711790</v>
      </c>
      <c r="B1629" t="str">
        <f>T("   AUTRES")</f>
        <v xml:space="preserve">   AUTRES</v>
      </c>
      <c r="C1629">
        <v>19</v>
      </c>
      <c r="D1629">
        <v>200000</v>
      </c>
    </row>
    <row r="1630" spans="1:4" x14ac:dyDescent="0.25">
      <c r="A1630" t="str">
        <f>T("   730423")</f>
        <v xml:space="preserve">   730423</v>
      </c>
      <c r="B1630" t="str">
        <f>T("   AUTRES TIGES DE FORAGE")</f>
        <v xml:space="preserve">   AUTRES TIGES DE FORAGE</v>
      </c>
      <c r="C1630">
        <v>12647</v>
      </c>
      <c r="D1630">
        <v>34371648</v>
      </c>
    </row>
    <row r="1631" spans="1:4" x14ac:dyDescent="0.25">
      <c r="A1631" t="str">
        <f>T("   730490")</f>
        <v xml:space="preserve">   730490</v>
      </c>
      <c r="B1631" t="str">
        <f>T("   AUTRES")</f>
        <v xml:space="preserve">   AUTRES</v>
      </c>
      <c r="C1631">
        <v>2000</v>
      </c>
      <c r="D1631">
        <v>14023291</v>
      </c>
    </row>
    <row r="1632" spans="1:4" x14ac:dyDescent="0.25">
      <c r="A1632" t="str">
        <f>T("   730629")</f>
        <v xml:space="preserve">   730629</v>
      </c>
      <c r="B1632" t="str">
        <f>T("   AUTRES")</f>
        <v xml:space="preserve">   AUTRES</v>
      </c>
      <c r="C1632">
        <v>48322</v>
      </c>
      <c r="D1632">
        <v>133755491</v>
      </c>
    </row>
    <row r="1633" spans="1:4" x14ac:dyDescent="0.25">
      <c r="A1633" t="str">
        <f>T("   730799")</f>
        <v xml:space="preserve">   730799</v>
      </c>
      <c r="B1633" t="str">
        <f>T("   AUTRES")</f>
        <v xml:space="preserve">   AUTRES</v>
      </c>
      <c r="C1633">
        <v>5162</v>
      </c>
      <c r="D1633">
        <v>26746395</v>
      </c>
    </row>
    <row r="1634" spans="1:4" x14ac:dyDescent="0.25">
      <c r="A1634" t="str">
        <f>T("   730900")</f>
        <v xml:space="preserve">   730900</v>
      </c>
      <c r="B1634" t="str">
        <f>T("   RESERVOIRS, FOUDRES, CUVES ET RECIPIENTS SIMILAIRES POUR TOUTES MATIERES (A L'EXCEPTION")</f>
        <v xml:space="preserve">   RESERVOIRS, FOUDRES, CUVES ET RECIPIENTS SIMILAIRES POUR TOUTES MATIERES (A L'EXCEPTION</v>
      </c>
      <c r="C1634">
        <v>4445</v>
      </c>
      <c r="D1634">
        <v>15336193</v>
      </c>
    </row>
    <row r="1635" spans="1:4" x14ac:dyDescent="0.25">
      <c r="A1635" t="str">
        <f>T("   731029")</f>
        <v xml:space="preserve">   731029</v>
      </c>
      <c r="B1635" t="str">
        <f>T("   AUTRES")</f>
        <v xml:space="preserve">   AUTRES</v>
      </c>
      <c r="C1635">
        <v>7160</v>
      </c>
      <c r="D1635">
        <v>63675421</v>
      </c>
    </row>
    <row r="1636" spans="1:4" x14ac:dyDescent="0.25">
      <c r="A1636" t="str">
        <f>T("   731290")</f>
        <v xml:space="preserve">   731290</v>
      </c>
      <c r="B1636" t="str">
        <f>T("   AUTRES")</f>
        <v xml:space="preserve">   AUTRES</v>
      </c>
      <c r="C1636">
        <v>13</v>
      </c>
      <c r="D1636">
        <v>110035</v>
      </c>
    </row>
    <row r="1637" spans="1:4" x14ac:dyDescent="0.25">
      <c r="A1637" t="str">
        <f>T("   731815")</f>
        <v xml:space="preserve">   731815</v>
      </c>
      <c r="B1637" t="str">
        <f>T("   AUTRES VIS ET BOULONS, MEME AVEC LEURS ECROUS OU RONDELLES")</f>
        <v xml:space="preserve">   AUTRES VIS ET BOULONS, MEME AVEC LEURS ECROUS OU RONDELLES</v>
      </c>
      <c r="C1637">
        <v>118</v>
      </c>
      <c r="D1637">
        <v>4930448</v>
      </c>
    </row>
    <row r="1638" spans="1:4" x14ac:dyDescent="0.25">
      <c r="A1638" t="str">
        <f>T("   732394")</f>
        <v xml:space="preserve">   732394</v>
      </c>
      <c r="B1638" t="str">
        <f>T("   EN FER OU EN ACIER, EMAILLES")</f>
        <v xml:space="preserve">   EN FER OU EN ACIER, EMAILLES</v>
      </c>
      <c r="C1638">
        <v>400</v>
      </c>
      <c r="D1638">
        <v>400000</v>
      </c>
    </row>
    <row r="1639" spans="1:4" x14ac:dyDescent="0.25">
      <c r="A1639" t="str">
        <f>T("   732690")</f>
        <v xml:space="preserve">   732690</v>
      </c>
      <c r="B1639" t="str">
        <f>T("   AUTRES")</f>
        <v xml:space="preserve">   AUTRES</v>
      </c>
      <c r="C1639">
        <v>2</v>
      </c>
      <c r="D1639">
        <v>183242</v>
      </c>
    </row>
    <row r="1640" spans="1:4" x14ac:dyDescent="0.25">
      <c r="A1640" t="str">
        <f>T("   820411")</f>
        <v xml:space="preserve">   820411</v>
      </c>
      <c r="B1640" t="str">
        <f>T("   A OUVERTURE FIXE")</f>
        <v xml:space="preserve">   A OUVERTURE FIXE</v>
      </c>
      <c r="C1640">
        <v>23410</v>
      </c>
      <c r="D1640">
        <v>198650048</v>
      </c>
    </row>
    <row r="1641" spans="1:4" x14ac:dyDescent="0.25">
      <c r="A1641" t="str">
        <f>T("   820719")</f>
        <v xml:space="preserve">   820719</v>
      </c>
      <c r="B1641" t="str">
        <f>T("   AUTRES, Y COMPRIS LES PARTIES")</f>
        <v xml:space="preserve">   AUTRES, Y COMPRIS LES PARTIES</v>
      </c>
      <c r="C1641">
        <v>2072.5</v>
      </c>
      <c r="D1641">
        <v>204128302</v>
      </c>
    </row>
    <row r="1642" spans="1:4" x14ac:dyDescent="0.25">
      <c r="A1642" t="str">
        <f>T("   840110")</f>
        <v xml:space="preserve">   840110</v>
      </c>
      <c r="B1642" t="str">
        <f>T("   REACTEURS NUCLEAIRES")</f>
        <v xml:space="preserve">   REACTEURS NUCLEAIRES</v>
      </c>
      <c r="C1642">
        <v>6800</v>
      </c>
      <c r="D1642">
        <v>1394109</v>
      </c>
    </row>
    <row r="1643" spans="1:4" x14ac:dyDescent="0.25">
      <c r="A1643" t="str">
        <f>T("   841231")</f>
        <v xml:space="preserve">   841231</v>
      </c>
      <c r="B1643" t="str">
        <f>T("   A MOUVEMENT RECTILIGNE (CYLINDRES)")</f>
        <v xml:space="preserve">   A MOUVEMENT RECTILIGNE (CYLINDRES)</v>
      </c>
      <c r="C1643">
        <v>19</v>
      </c>
      <c r="D1643">
        <v>164306</v>
      </c>
    </row>
    <row r="1644" spans="1:4" x14ac:dyDescent="0.25">
      <c r="A1644" t="str">
        <f>T("   841360")</f>
        <v xml:space="preserve">   841360</v>
      </c>
      <c r="B1644" t="str">
        <f>T("   Autres pompes volumetriques rotatives")</f>
        <v xml:space="preserve">   Autres pompes volumetriques rotatives</v>
      </c>
      <c r="C1644">
        <v>162</v>
      </c>
      <c r="D1644">
        <v>1373695</v>
      </c>
    </row>
    <row r="1645" spans="1:4" x14ac:dyDescent="0.25">
      <c r="A1645" t="str">
        <f>T("   841430")</f>
        <v xml:space="preserve">   841430</v>
      </c>
      <c r="B1645" t="str">
        <f>T("   COMPRESSEURS DES TYPES UTILISES DANS LES EQUIPEMENTS FRIGORIFIQUES")</f>
        <v xml:space="preserve">   COMPRESSEURS DES TYPES UTILISES DANS LES EQUIPEMENTS FRIGORIFIQUES</v>
      </c>
      <c r="C1645">
        <v>4760</v>
      </c>
      <c r="D1645">
        <v>121194359</v>
      </c>
    </row>
    <row r="1646" spans="1:4" x14ac:dyDescent="0.25">
      <c r="A1646" t="str">
        <f>T("   841440")</f>
        <v xml:space="preserve">   841440</v>
      </c>
      <c r="B1646" t="str">
        <f>T("   COMPRESSEURS D'AIR MONTES SUR CHASSIS A ROUES ET REMORQUABLES")</f>
        <v xml:space="preserve">   COMPRESSEURS D'AIR MONTES SUR CHASSIS A ROUES ET REMORQUABLES</v>
      </c>
      <c r="C1646">
        <v>437</v>
      </c>
      <c r="D1646">
        <v>4481064</v>
      </c>
    </row>
    <row r="1647" spans="1:4" x14ac:dyDescent="0.25">
      <c r="A1647" t="str">
        <f>T("   842489")</f>
        <v xml:space="preserve">   842489</v>
      </c>
      <c r="B1647" t="str">
        <f>T("   AUTRES")</f>
        <v xml:space="preserve">   AUTRES</v>
      </c>
      <c r="C1647">
        <v>8</v>
      </c>
      <c r="D1647">
        <v>676451</v>
      </c>
    </row>
    <row r="1648" spans="1:4" x14ac:dyDescent="0.25">
      <c r="A1648" t="str">
        <f>T("   842490")</f>
        <v xml:space="preserve">   842490</v>
      </c>
      <c r="B1648" t="str">
        <f>T("   PARTIES")</f>
        <v xml:space="preserve">   PARTIES</v>
      </c>
      <c r="C1648">
        <v>243</v>
      </c>
      <c r="D1648">
        <v>75736629</v>
      </c>
    </row>
    <row r="1649" spans="1:4" x14ac:dyDescent="0.25">
      <c r="A1649" t="str">
        <f>T("   842710")</f>
        <v xml:space="preserve">   842710</v>
      </c>
      <c r="B1649" t="str">
        <f>T("   CHARIOTS AUTOPROPULSES A MOTEUR ELECTRIQUE")</f>
        <v xml:space="preserve">   CHARIOTS AUTOPROPULSES A MOTEUR ELECTRIQUE</v>
      </c>
      <c r="C1649">
        <v>995</v>
      </c>
      <c r="D1649">
        <v>6273490</v>
      </c>
    </row>
    <row r="1650" spans="1:4" x14ac:dyDescent="0.25">
      <c r="A1650" t="str">
        <f>T("   843131")</f>
        <v xml:space="preserve">   843131</v>
      </c>
      <c r="B1650" t="str">
        <f>T("   D'ASCENSEURS, MONTECHARGE OU ESCALIERS MECANIQUES")</f>
        <v xml:space="preserve">   D'ASCENSEURS, MONTECHARGE OU ESCALIERS MECANIQUES</v>
      </c>
      <c r="C1650">
        <v>13117</v>
      </c>
      <c r="D1650">
        <v>40215060</v>
      </c>
    </row>
    <row r="1651" spans="1:4" x14ac:dyDescent="0.25">
      <c r="A1651" t="str">
        <f>T("   843143")</f>
        <v xml:space="preserve">   843143</v>
      </c>
      <c r="B1651" t="str">
        <f>T("   PARTIES DE MACHINES DE SONDAGE OU DE FORAGE DES N°S 8430.41 OU 8430.49")</f>
        <v xml:space="preserve">   PARTIES DE MACHINES DE SONDAGE OU DE FORAGE DES N°S 8430.41 OU 8430.49</v>
      </c>
      <c r="C1651">
        <v>295680</v>
      </c>
      <c r="D1651">
        <v>2549336549</v>
      </c>
    </row>
    <row r="1652" spans="1:4" x14ac:dyDescent="0.25">
      <c r="A1652" t="str">
        <f>T("   843149")</f>
        <v xml:space="preserve">   843149</v>
      </c>
      <c r="B1652" t="str">
        <f>T("   AUTRES")</f>
        <v xml:space="preserve">   AUTRES</v>
      </c>
      <c r="C1652">
        <v>518</v>
      </c>
      <c r="D1652">
        <v>954305</v>
      </c>
    </row>
    <row r="1653" spans="1:4" x14ac:dyDescent="0.25">
      <c r="A1653" t="str">
        <f>T("   847989")</f>
        <v xml:space="preserve">   847989</v>
      </c>
      <c r="B1653" t="str">
        <f>T("   AUTRES")</f>
        <v xml:space="preserve">   AUTRES</v>
      </c>
      <c r="C1653">
        <v>2346</v>
      </c>
      <c r="D1653">
        <v>41063317</v>
      </c>
    </row>
    <row r="1654" spans="1:4" x14ac:dyDescent="0.25">
      <c r="A1654" t="str">
        <f>T("   848140")</f>
        <v xml:space="preserve">   848140</v>
      </c>
      <c r="B1654" t="str">
        <f>T("   SOUPAPES DE TROPPLEIN OU DE SURETE")</f>
        <v xml:space="preserve">   SOUPAPES DE TROPPLEIN OU DE SURETE</v>
      </c>
      <c r="C1654">
        <v>37</v>
      </c>
      <c r="D1654">
        <v>798128</v>
      </c>
    </row>
    <row r="1655" spans="1:4" x14ac:dyDescent="0.25">
      <c r="A1655" t="str">
        <f>T("   848180")</f>
        <v xml:space="preserve">   848180</v>
      </c>
      <c r="B1655" t="str">
        <f>T("   Autres articles de robinetterie et organes similaires")</f>
        <v xml:space="preserve">   Autres articles de robinetterie et organes similaires</v>
      </c>
      <c r="C1655">
        <v>56</v>
      </c>
      <c r="D1655">
        <v>1208443</v>
      </c>
    </row>
    <row r="1656" spans="1:4" x14ac:dyDescent="0.25">
      <c r="A1656" t="str">
        <f>T("   850511")</f>
        <v xml:space="preserve">   850511</v>
      </c>
      <c r="B1656" t="str">
        <f>T("   EN METAL")</f>
        <v xml:space="preserve">   EN METAL</v>
      </c>
      <c r="C1656">
        <v>77</v>
      </c>
      <c r="D1656">
        <v>1685343</v>
      </c>
    </row>
    <row r="1657" spans="1:4" x14ac:dyDescent="0.25">
      <c r="A1657" t="str">
        <f>T("   850790")</f>
        <v xml:space="preserve">   850790</v>
      </c>
      <c r="B1657" t="str">
        <f>T("   PARTIES")</f>
        <v xml:space="preserve">   PARTIES</v>
      </c>
      <c r="C1657">
        <v>3</v>
      </c>
      <c r="D1657">
        <v>1546963</v>
      </c>
    </row>
    <row r="1658" spans="1:4" x14ac:dyDescent="0.25">
      <c r="A1658" t="str">
        <f>T("   852321")</f>
        <v xml:space="preserve">   852321</v>
      </c>
      <c r="B1658" t="str">
        <f>T("   CARTES MUNIES D'UNE PISTE MAGNETIQUE")</f>
        <v xml:space="preserve">   CARTES MUNIES D'UNE PISTE MAGNETIQUE</v>
      </c>
      <c r="C1658">
        <v>1100</v>
      </c>
      <c r="D1658">
        <v>14239826</v>
      </c>
    </row>
    <row r="1659" spans="1:4" x14ac:dyDescent="0.25">
      <c r="A1659" t="str">
        <f>T("   852560")</f>
        <v xml:space="preserve">   852560</v>
      </c>
      <c r="B1659" t="str">
        <f>T("   APPAREILS D'EMISSION INCORPORANT UN APPAREIL DE RECEPTION")</f>
        <v xml:space="preserve">   APPAREILS D'EMISSION INCORPORANT UN APPAREIL DE RECEPTION</v>
      </c>
      <c r="C1659">
        <v>200</v>
      </c>
      <c r="D1659">
        <v>248948</v>
      </c>
    </row>
    <row r="1660" spans="1:4" x14ac:dyDescent="0.25">
      <c r="A1660" t="str">
        <f>T("   854420")</f>
        <v xml:space="preserve">   854420</v>
      </c>
      <c r="B1660" t="str">
        <f>T("   Cables coaxiaux et autres conducteurs electriques coaxiaux")</f>
        <v xml:space="preserve">   Cables coaxiaux et autres conducteurs electriques coaxiaux</v>
      </c>
      <c r="C1660">
        <v>27</v>
      </c>
      <c r="D1660">
        <v>160873</v>
      </c>
    </row>
    <row r="1661" spans="1:4" x14ac:dyDescent="0.25">
      <c r="A1661" t="str">
        <f>T("   860900")</f>
        <v xml:space="preserve">   860900</v>
      </c>
      <c r="B1661" t="str">
        <f>T("   CADRES ET CONTENEURS (Y COMPRIS LES CONTENEURSCITERNES ET LES CONTENEURSRESERVOIRS) S")</f>
        <v xml:space="preserve">   CADRES ET CONTENEURS (Y COMPRIS LES CONTENEURSCITERNES ET LES CONTENEURSRESERVOIRS) S</v>
      </c>
      <c r="C1661">
        <v>24420</v>
      </c>
      <c r="D1661">
        <v>333856672</v>
      </c>
    </row>
    <row r="1662" spans="1:4" x14ac:dyDescent="0.25">
      <c r="A1662" t="str">
        <f>T("   890520")</f>
        <v xml:space="preserve">   890520</v>
      </c>
      <c r="B1662" t="str">
        <f>T("   PLATESFORMES DE FORAGE OU D'EXPLOITATION, FLOTTANTES OU SUBMERSIBLES")</f>
        <v xml:space="preserve">   PLATESFORMES DE FORAGE OU D'EXPLOITATION, FLOTTANTES OU SUBMERSIBLES</v>
      </c>
      <c r="C1662">
        <v>483</v>
      </c>
      <c r="D1662">
        <v>24894800</v>
      </c>
    </row>
    <row r="1663" spans="1:4" x14ac:dyDescent="0.25">
      <c r="A1663" t="str">
        <f>T("   900490")</f>
        <v xml:space="preserve">   900490</v>
      </c>
      <c r="B1663" t="str">
        <f>T("   AUTRES")</f>
        <v xml:space="preserve">   AUTRES</v>
      </c>
      <c r="C1663">
        <v>0.5</v>
      </c>
      <c r="D1663">
        <v>56909</v>
      </c>
    </row>
    <row r="1664" spans="1:4" x14ac:dyDescent="0.25">
      <c r="A1664" t="str">
        <f>T("   901780")</f>
        <v xml:space="preserve">   901780</v>
      </c>
      <c r="B1664" t="str">
        <f>T("   AUTRES INSTRUMENTS")</f>
        <v xml:space="preserve">   AUTRES INSTRUMENTS</v>
      </c>
      <c r="C1664">
        <v>92</v>
      </c>
      <c r="D1664">
        <v>6434917</v>
      </c>
    </row>
    <row r="1665" spans="1:4" x14ac:dyDescent="0.25">
      <c r="A1665" t="str">
        <f>T("   902780")</f>
        <v xml:space="preserve">   902780</v>
      </c>
      <c r="B1665" t="str">
        <f>T("   AUTRES INSTRUMENTS ET APPAREILS")</f>
        <v xml:space="preserve">   AUTRES INSTRUMENTS ET APPAREILS</v>
      </c>
      <c r="C1665">
        <v>143</v>
      </c>
      <c r="D1665">
        <v>8252014</v>
      </c>
    </row>
    <row r="1666" spans="1:4" x14ac:dyDescent="0.25">
      <c r="A1666" t="str">
        <f>T("   903110")</f>
        <v xml:space="preserve">   903110</v>
      </c>
      <c r="B1666" t="str">
        <f>T("   MACHINES A EQUILIBRER LES PIECES MECANIQUES")</f>
        <v xml:space="preserve">   MACHINES A EQUILIBRER LES PIECES MECANIQUES</v>
      </c>
      <c r="C1666">
        <v>75</v>
      </c>
      <c r="D1666">
        <v>3110040</v>
      </c>
    </row>
    <row r="1667" spans="1:4" x14ac:dyDescent="0.25">
      <c r="A1667" t="str">
        <f>T("   940350")</f>
        <v xml:space="preserve">   940350</v>
      </c>
      <c r="B1667" t="str">
        <f>T("   MEUBLES EN BOIS DES TYPES UTILISES DANS LES CHAMBRES A COUCHER")</f>
        <v xml:space="preserve">   MEUBLES EN BOIS DES TYPES UTILISES DANS LES CHAMBRES A COUCHER</v>
      </c>
      <c r="C1667">
        <v>7750</v>
      </c>
      <c r="D1667">
        <v>28062183</v>
      </c>
    </row>
    <row r="1668" spans="1:4" x14ac:dyDescent="0.25">
      <c r="A1668" t="str">
        <f>T("   940360")</f>
        <v xml:space="preserve">   940360</v>
      </c>
      <c r="B1668" t="str">
        <f>T("   Autres meubles en bois")</f>
        <v xml:space="preserve">   Autres meubles en bois</v>
      </c>
      <c r="C1668">
        <v>16782</v>
      </c>
      <c r="D1668">
        <v>53000000</v>
      </c>
    </row>
    <row r="1669" spans="1:4" x14ac:dyDescent="0.25">
      <c r="A1669" t="str">
        <f>T("   940389")</f>
        <v xml:space="preserve">   940389</v>
      </c>
      <c r="B1669" t="str">
        <f>T("   AUTRES")</f>
        <v xml:space="preserve">   AUTRES</v>
      </c>
      <c r="C1669">
        <v>13000</v>
      </c>
      <c r="D1669">
        <v>68500000</v>
      </c>
    </row>
    <row r="1670" spans="1:4" x14ac:dyDescent="0.25">
      <c r="A1670" t="str">
        <f>T("   940600")</f>
        <v xml:space="preserve">   940600</v>
      </c>
      <c r="B1670" t="str">
        <f>T("   CONSTRUCTIONS PREFABRIQUEES.")</f>
        <v xml:space="preserve">   CONSTRUCTIONS PREFABRIQUEES.</v>
      </c>
      <c r="C1670">
        <v>8080</v>
      </c>
      <c r="D1670">
        <v>27882674</v>
      </c>
    </row>
    <row r="1671" spans="1:4" x14ac:dyDescent="0.25">
      <c r="A1671" t="str">
        <f>T("   950699")</f>
        <v xml:space="preserve">   950699</v>
      </c>
      <c r="B1671" t="str">
        <f>T("   AUTRES")</f>
        <v xml:space="preserve">   AUTRES</v>
      </c>
      <c r="C1671">
        <v>211</v>
      </c>
      <c r="D1671">
        <v>200000</v>
      </c>
    </row>
    <row r="1672" spans="1:4" x14ac:dyDescent="0.25">
      <c r="A1672" t="str">
        <f>T("   960329")</f>
        <v xml:space="preserve">   960329</v>
      </c>
      <c r="B1672" t="str">
        <f>T("   AUTRES")</f>
        <v xml:space="preserve">   AUTRES</v>
      </c>
      <c r="C1672">
        <v>31</v>
      </c>
      <c r="D1672">
        <v>189748</v>
      </c>
    </row>
    <row r="1673" spans="1:4" x14ac:dyDescent="0.25">
      <c r="A1673" t="str">
        <f>T("   970300")</f>
        <v xml:space="preserve">   970300</v>
      </c>
      <c r="B1673" t="str">
        <f>T("   PRODUCTIONS ORIGINALES DE L'ART STATUAIRE OU DE LA SCULPTURE, EN TOUTES MATIERES.")</f>
        <v xml:space="preserve">   PRODUCTIONS ORIGINALES DE L'ART STATUAIRE OU DE LA SCULPTURE, EN TOUTES MATIERES.</v>
      </c>
      <c r="C1673">
        <v>5450</v>
      </c>
      <c r="D1673">
        <v>1375000</v>
      </c>
    </row>
    <row r="1674" spans="1:4" s="1" customFormat="1" x14ac:dyDescent="0.25">
      <c r="A1674" s="1" t="str">
        <f>T("   ZZ_Total_Produit_SH6")</f>
        <v xml:space="preserve">   ZZ_Total_Produit_SH6</v>
      </c>
      <c r="B1674" s="1" t="str">
        <f>T("   ZZ_Total_Produit_SH6")</f>
        <v xml:space="preserve">   ZZ_Total_Produit_SH6</v>
      </c>
      <c r="C1674" s="1">
        <v>1063319.95</v>
      </c>
      <c r="D1674" s="1">
        <v>5606716843</v>
      </c>
    </row>
    <row r="1675" spans="1:4" s="1" customFormat="1" x14ac:dyDescent="0.25">
      <c r="B1675" s="1" t="str">
        <f>T("Vietnam")</f>
        <v>Vietnam</v>
      </c>
    </row>
    <row r="1676" spans="1:4" x14ac:dyDescent="0.25">
      <c r="A1676" t="str">
        <f>T("   030379")</f>
        <v xml:space="preserve">   030379</v>
      </c>
      <c r="B1676" t="str">
        <f>T("   AUTRES POISSONS ENTIERS CONGELES.(FOIES,OEUFS,LAITANCES EXCLUS)")</f>
        <v xml:space="preserve">   AUTRES POISSONS ENTIERS CONGELES.(FOIES,OEUFS,LAITANCES EXCLUS)</v>
      </c>
      <c r="C1676">
        <v>120680</v>
      </c>
      <c r="D1676">
        <v>34821363</v>
      </c>
    </row>
    <row r="1677" spans="1:4" x14ac:dyDescent="0.25">
      <c r="A1677" t="str">
        <f>T("   080131")</f>
        <v xml:space="preserve">   080131</v>
      </c>
      <c r="B1677" t="str">
        <f>T("   EN COQUES")</f>
        <v xml:space="preserve">   EN COQUES</v>
      </c>
      <c r="C1677">
        <v>16306036</v>
      </c>
      <c r="D1677">
        <v>4483022381</v>
      </c>
    </row>
    <row r="1678" spans="1:4" x14ac:dyDescent="0.25">
      <c r="A1678" t="str">
        <f>T("   440690")</f>
        <v xml:space="preserve">   440690</v>
      </c>
      <c r="B1678" t="str">
        <f>T("   AUTRES")</f>
        <v xml:space="preserve">   AUTRES</v>
      </c>
      <c r="C1678">
        <v>170000</v>
      </c>
      <c r="D1678">
        <v>8500000</v>
      </c>
    </row>
    <row r="1679" spans="1:4" x14ac:dyDescent="0.25">
      <c r="A1679" t="str">
        <f>T("   520100")</f>
        <v xml:space="preserve">   520100</v>
      </c>
      <c r="B1679" t="str">
        <f>T("   COTON, NON CARDE NI PEIGNE.")</f>
        <v xml:space="preserve">   COTON, NON CARDE NI PEIGNE.</v>
      </c>
      <c r="C1679">
        <v>11368508</v>
      </c>
      <c r="D1679">
        <v>10078793842</v>
      </c>
    </row>
    <row r="1680" spans="1:4" x14ac:dyDescent="0.25">
      <c r="A1680" t="str">
        <f>T("   620590")</f>
        <v xml:space="preserve">   620590</v>
      </c>
      <c r="B1680" t="str">
        <f>T("   D'AUTRES MATIERES TEXTILES")</f>
        <v xml:space="preserve">   D'AUTRES MATIERES TEXTILES</v>
      </c>
      <c r="C1680">
        <v>550</v>
      </c>
      <c r="D1680">
        <v>400000</v>
      </c>
    </row>
    <row r="1681" spans="1:4" x14ac:dyDescent="0.25">
      <c r="A1681" t="str">
        <f>T("   630510")</f>
        <v xml:space="preserve">   630510</v>
      </c>
      <c r="B1681" t="str">
        <f>T("   DE JUTE OU D'AUTRES FIBRES TEXTILES LIBERIENNES DU N° 53.03")</f>
        <v xml:space="preserve">   DE JUTE OU D'AUTRES FIBRES TEXTILES LIBERIENNES DU N° 53.03</v>
      </c>
      <c r="C1681">
        <v>6430</v>
      </c>
      <c r="D1681">
        <v>3961637</v>
      </c>
    </row>
    <row r="1682" spans="1:4" x14ac:dyDescent="0.25">
      <c r="A1682" t="str">
        <f>T("   720429")</f>
        <v xml:space="preserve">   720429</v>
      </c>
      <c r="B1682" t="str">
        <f>T("   AUTRES")</f>
        <v xml:space="preserve">   AUTRES</v>
      </c>
      <c r="C1682">
        <v>10566000</v>
      </c>
      <c r="D1682">
        <v>530800000</v>
      </c>
    </row>
    <row r="1683" spans="1:4" x14ac:dyDescent="0.25">
      <c r="A1683" t="str">
        <f>T("   720430")</f>
        <v xml:space="preserve">   720430</v>
      </c>
      <c r="B1683" t="str">
        <f>T("   Dechets et debris de fer ou d'acier etames")</f>
        <v xml:space="preserve">   Dechets et debris de fer ou d'acier etames</v>
      </c>
      <c r="C1683">
        <v>1720000</v>
      </c>
      <c r="D1683">
        <v>86000000</v>
      </c>
    </row>
    <row r="1684" spans="1:4" x14ac:dyDescent="0.25">
      <c r="A1684" t="str">
        <f>T("   720449")</f>
        <v xml:space="preserve">   720449</v>
      </c>
      <c r="B1684" t="str">
        <f>T("   AUTRES")</f>
        <v xml:space="preserve">   AUTRES</v>
      </c>
      <c r="C1684">
        <v>990000</v>
      </c>
      <c r="D1684">
        <v>49500000</v>
      </c>
    </row>
    <row r="1685" spans="1:4" x14ac:dyDescent="0.25">
      <c r="A1685" t="str">
        <f>T("   720510")</f>
        <v xml:space="preserve">   720510</v>
      </c>
      <c r="B1685" t="str">
        <f>T("   GRENAILLES")</f>
        <v xml:space="preserve">   GRENAILLES</v>
      </c>
      <c r="C1685">
        <v>50000</v>
      </c>
      <c r="D1685">
        <v>5000000</v>
      </c>
    </row>
    <row r="1686" spans="1:4" x14ac:dyDescent="0.25">
      <c r="A1686" t="str">
        <f>T("   732394")</f>
        <v xml:space="preserve">   732394</v>
      </c>
      <c r="B1686" t="str">
        <f>T("   EN FER OU EN ACIER, EMAILLES")</f>
        <v xml:space="preserve">   EN FER OU EN ACIER, EMAILLES</v>
      </c>
      <c r="C1686">
        <v>250</v>
      </c>
      <c r="D1686">
        <v>300000</v>
      </c>
    </row>
    <row r="1687" spans="1:4" x14ac:dyDescent="0.25">
      <c r="A1687" t="str">
        <f>T("   940350")</f>
        <v xml:space="preserve">   940350</v>
      </c>
      <c r="B1687" t="str">
        <f>T("   MEUBLES EN BOIS DES TYPES UTILISES DANS LES CHAMBRES A COUCHER")</f>
        <v xml:space="preserve">   MEUBLES EN BOIS DES TYPES UTILISES DANS LES CHAMBRES A COUCHER</v>
      </c>
      <c r="C1687">
        <v>1200</v>
      </c>
      <c r="D1687">
        <v>800000</v>
      </c>
    </row>
    <row r="1688" spans="1:4" x14ac:dyDescent="0.25">
      <c r="A1688" t="str">
        <f>T("   960190")</f>
        <v xml:space="preserve">   960190</v>
      </c>
      <c r="B1688" t="str">
        <f>T("   AUTRES")</f>
        <v xml:space="preserve">   AUTRES</v>
      </c>
      <c r="C1688">
        <v>16000</v>
      </c>
      <c r="D1688">
        <v>3200000</v>
      </c>
    </row>
    <row r="1689" spans="1:4" s="1" customFormat="1" x14ac:dyDescent="0.25">
      <c r="A1689" s="1" t="str">
        <f>T("   ZZ_Total_Produit_SH6")</f>
        <v xml:space="preserve">   ZZ_Total_Produit_SH6</v>
      </c>
      <c r="B1689" s="1" t="str">
        <f>T("   ZZ_Total_Produit_SH6")</f>
        <v xml:space="preserve">   ZZ_Total_Produit_SH6</v>
      </c>
      <c r="C1689" s="1">
        <v>41315654</v>
      </c>
      <c r="D1689" s="1">
        <v>15285099223</v>
      </c>
    </row>
    <row r="1690" spans="1:4" s="1" customFormat="1" x14ac:dyDescent="0.25">
      <c r="B1690" s="1" t="str">
        <f>T("Afrique du Sud")</f>
        <v>Afrique du Sud</v>
      </c>
    </row>
    <row r="1691" spans="1:4" x14ac:dyDescent="0.25">
      <c r="A1691" t="str">
        <f>T("   040510")</f>
        <v xml:space="preserve">   040510</v>
      </c>
      <c r="B1691" t="str">
        <f>T("   BEURRE")</f>
        <v xml:space="preserve">   BEURRE</v>
      </c>
      <c r="C1691">
        <v>245480</v>
      </c>
      <c r="D1691">
        <v>154209893</v>
      </c>
    </row>
    <row r="1692" spans="1:4" x14ac:dyDescent="0.25">
      <c r="A1692" t="str">
        <f>T("   120100")</f>
        <v xml:space="preserve">   120100</v>
      </c>
      <c r="B1692" t="str">
        <f>T("   Feves de soja,meme concassees")</f>
        <v xml:space="preserve">   Feves de soja,meme concassees</v>
      </c>
      <c r="C1692">
        <v>1136757</v>
      </c>
      <c r="D1692">
        <v>227351400</v>
      </c>
    </row>
    <row r="1693" spans="1:4" x14ac:dyDescent="0.25">
      <c r="A1693" t="str">
        <f>T("   230610")</f>
        <v xml:space="preserve">   230610</v>
      </c>
      <c r="B1693" t="str">
        <f>T("   DE GRAINES DE COTON")</f>
        <v xml:space="preserve">   DE GRAINES DE COTON</v>
      </c>
      <c r="C1693">
        <v>16298663</v>
      </c>
      <c r="D1693">
        <v>1686328143</v>
      </c>
    </row>
    <row r="1694" spans="1:4" x14ac:dyDescent="0.25">
      <c r="A1694" t="str">
        <f>T("   230690")</f>
        <v xml:space="preserve">   230690</v>
      </c>
      <c r="B1694" t="str">
        <f>T("   AUTRES")</f>
        <v xml:space="preserve">   AUTRES</v>
      </c>
      <c r="C1694">
        <v>1045538</v>
      </c>
      <c r="D1694">
        <v>55700905</v>
      </c>
    </row>
    <row r="1695" spans="1:4" x14ac:dyDescent="0.25">
      <c r="A1695" t="str">
        <f>T("   491199")</f>
        <v xml:space="preserve">   491199</v>
      </c>
      <c r="B1695" t="str">
        <f>T("   AUTRES")</f>
        <v xml:space="preserve">   AUTRES</v>
      </c>
      <c r="C1695">
        <v>13.5</v>
      </c>
      <c r="D1695">
        <v>717060</v>
      </c>
    </row>
    <row r="1696" spans="1:4" x14ac:dyDescent="0.25">
      <c r="A1696" t="str">
        <f>T("   620349")</f>
        <v xml:space="preserve">   620349</v>
      </c>
      <c r="B1696" t="str">
        <f>T("   D'AUTRES MATIERES TEXTILES")</f>
        <v xml:space="preserve">   D'AUTRES MATIERES TEXTILES</v>
      </c>
      <c r="C1696">
        <v>110</v>
      </c>
      <c r="D1696">
        <v>180389</v>
      </c>
    </row>
    <row r="1697" spans="1:4" x14ac:dyDescent="0.25">
      <c r="A1697" t="str">
        <f>T("   630510")</f>
        <v xml:space="preserve">   630510</v>
      </c>
      <c r="B1697" t="str">
        <f>T("   DE JUTE OU D'AUTRES FIBRES TEXTILES LIBERIENNES DU N° 53.03")</f>
        <v xml:space="preserve">   DE JUTE OU D'AUTRES FIBRES TEXTILES LIBERIENNES DU N° 53.03</v>
      </c>
      <c r="C1697">
        <v>3215</v>
      </c>
      <c r="D1697">
        <v>1980819</v>
      </c>
    </row>
    <row r="1698" spans="1:4" x14ac:dyDescent="0.25">
      <c r="A1698" t="str">
        <f>T("   732394")</f>
        <v xml:space="preserve">   732394</v>
      </c>
      <c r="B1698" t="str">
        <f>T("   EN FER OU EN ACIER, EMAILLES")</f>
        <v xml:space="preserve">   EN FER OU EN ACIER, EMAILLES</v>
      </c>
      <c r="C1698">
        <v>100</v>
      </c>
      <c r="D1698">
        <v>300000</v>
      </c>
    </row>
    <row r="1699" spans="1:4" x14ac:dyDescent="0.25">
      <c r="A1699" t="str">
        <f>T("   820760")</f>
        <v xml:space="preserve">   820760</v>
      </c>
      <c r="B1699" t="str">
        <f>T("   OUTILS A ALESER OU A BROCHER")</f>
        <v xml:space="preserve">   OUTILS A ALESER OU A BROCHER</v>
      </c>
      <c r="C1699">
        <v>42</v>
      </c>
      <c r="D1699">
        <v>7560551</v>
      </c>
    </row>
    <row r="1700" spans="1:4" x14ac:dyDescent="0.25">
      <c r="A1700" t="str">
        <f>T("   848180")</f>
        <v xml:space="preserve">   848180</v>
      </c>
      <c r="B1700" t="str">
        <f>T("   Autres articles de robinetterie et organes similaires")</f>
        <v xml:space="preserve">   Autres articles de robinetterie et organes similaires</v>
      </c>
      <c r="C1700">
        <v>43</v>
      </c>
      <c r="D1700">
        <v>362966</v>
      </c>
    </row>
    <row r="1701" spans="1:4" x14ac:dyDescent="0.25">
      <c r="A1701" t="str">
        <f>T("   848190")</f>
        <v xml:space="preserve">   848190</v>
      </c>
      <c r="B1701" t="str">
        <f>T("   PARTIES")</f>
        <v xml:space="preserve">   PARTIES</v>
      </c>
      <c r="C1701">
        <v>8165</v>
      </c>
      <c r="D1701">
        <v>298141121</v>
      </c>
    </row>
    <row r="1702" spans="1:4" x14ac:dyDescent="0.25">
      <c r="A1702" t="str">
        <f>T("   851718")</f>
        <v xml:space="preserve">   851718</v>
      </c>
      <c r="B1702" t="str">
        <f>T("   AUTRES")</f>
        <v xml:space="preserve">   AUTRES</v>
      </c>
      <c r="C1702">
        <v>48130</v>
      </c>
      <c r="D1702">
        <v>1269833</v>
      </c>
    </row>
    <row r="1703" spans="1:4" x14ac:dyDescent="0.25">
      <c r="A1703" t="str">
        <f>T("   854890")</f>
        <v xml:space="preserve">   854890</v>
      </c>
      <c r="B1703" t="str">
        <f>T("   AUTRES")</f>
        <v xml:space="preserve">   AUTRES</v>
      </c>
      <c r="C1703">
        <v>66400</v>
      </c>
      <c r="D1703">
        <v>398317</v>
      </c>
    </row>
    <row r="1704" spans="1:4" x14ac:dyDescent="0.25">
      <c r="A1704" t="str">
        <f>T("   870324")</f>
        <v xml:space="preserve">   870324</v>
      </c>
      <c r="B1704" t="str">
        <f>T("   D’UNE CYLINDREE EXCEDANT 3.000 CM³")</f>
        <v xml:space="preserve">   D’UNE CYLINDREE EXCEDANT 3.000 CM³</v>
      </c>
      <c r="C1704">
        <v>3200</v>
      </c>
      <c r="D1704">
        <v>2405632</v>
      </c>
    </row>
    <row r="1705" spans="1:4" x14ac:dyDescent="0.25">
      <c r="A1705" t="str">
        <f>T("   870390")</f>
        <v xml:space="preserve">   870390</v>
      </c>
      <c r="B1705" t="str">
        <f>T("   AUTRES")</f>
        <v xml:space="preserve">   AUTRES</v>
      </c>
      <c r="C1705">
        <v>2000</v>
      </c>
      <c r="D1705">
        <v>13119200</v>
      </c>
    </row>
    <row r="1706" spans="1:4" x14ac:dyDescent="0.25">
      <c r="A1706" t="str">
        <f>T("   871200")</f>
        <v xml:space="preserve">   871200</v>
      </c>
      <c r="B1706" t="str">
        <f>T("   BICYCLETTES ET AUTRES CYCLES (Y COMPRIS LES TRIPORTEURS), SANS MOTEUR.")</f>
        <v xml:space="preserve">   BICYCLETTES ET AUTRES CYCLES (Y COMPRIS LES TRIPORTEURS), SANS MOTEUR.</v>
      </c>
      <c r="C1706">
        <v>10</v>
      </c>
      <c r="D1706">
        <v>491970</v>
      </c>
    </row>
    <row r="1707" spans="1:4" x14ac:dyDescent="0.25">
      <c r="A1707" t="str">
        <f>T("   940350")</f>
        <v xml:space="preserve">   940350</v>
      </c>
      <c r="B1707" t="str">
        <f>T("   MEUBLES EN BOIS DES TYPES UTILISES DANS LES CHAMBRES A COUCHER")</f>
        <v xml:space="preserve">   MEUBLES EN BOIS DES TYPES UTILISES DANS LES CHAMBRES A COUCHER</v>
      </c>
      <c r="C1707">
        <v>5725</v>
      </c>
      <c r="D1707">
        <v>5705000</v>
      </c>
    </row>
    <row r="1708" spans="1:4" s="1" customFormat="1" x14ac:dyDescent="0.25">
      <c r="A1708" s="1" t="str">
        <f>T("   ZZ_Total_Produit_SH6")</f>
        <v xml:space="preserve">   ZZ_Total_Produit_SH6</v>
      </c>
      <c r="B1708" s="1" t="str">
        <f>T("   ZZ_Total_Produit_SH6")</f>
        <v xml:space="preserve">   ZZ_Total_Produit_SH6</v>
      </c>
      <c r="C1708" s="1">
        <v>18863591.5</v>
      </c>
      <c r="D1708" s="1">
        <v>2456223199</v>
      </c>
    </row>
    <row r="1709" spans="1:4" s="1" customFormat="1" x14ac:dyDescent="0.25">
      <c r="B1709" s="1" t="str">
        <f>T("Zambie")</f>
        <v>Zambie</v>
      </c>
    </row>
    <row r="1710" spans="1:4" x14ac:dyDescent="0.25">
      <c r="A1710" t="str">
        <f>T("   940350")</f>
        <v xml:space="preserve">   940350</v>
      </c>
      <c r="B1710" t="str">
        <f>T("   MEUBLES EN BOIS DES TYPES UTILISES DANS LES CHAMBRES A COUCHER")</f>
        <v xml:space="preserve">   MEUBLES EN BOIS DES TYPES UTILISES DANS LES CHAMBRES A COUCHER</v>
      </c>
      <c r="C1710">
        <v>1300</v>
      </c>
      <c r="D1710">
        <v>1516000</v>
      </c>
    </row>
    <row r="1711" spans="1:4" s="1" customFormat="1" x14ac:dyDescent="0.25">
      <c r="A1711" s="1" t="str">
        <f>T("   ZZ_Total_Produit_SH6")</f>
        <v xml:space="preserve">   ZZ_Total_Produit_SH6</v>
      </c>
      <c r="B1711" s="1" t="str">
        <f>T("   ZZ_Total_Produit_SH6")</f>
        <v xml:space="preserve">   ZZ_Total_Produit_SH6</v>
      </c>
      <c r="C1711" s="1">
        <v>1300</v>
      </c>
      <c r="D1711" s="1">
        <v>1516000</v>
      </c>
    </row>
    <row r="1712" spans="1:4" s="1" customFormat="1" x14ac:dyDescent="0.25">
      <c r="B1712" s="1" t="str">
        <f>T("Total Monde")</f>
        <v>Total Monde</v>
      </c>
    </row>
    <row r="1713" spans="1:4" x14ac:dyDescent="0.25">
      <c r="A1713" t="str">
        <f>T("   010519")</f>
        <v xml:space="preserve">   010519</v>
      </c>
      <c r="B1713" t="str">
        <f>T("   AUTRES VOLAILLES VIVANTES, D'UN POIDS N'EXCEDANT PAS 185 G")</f>
        <v xml:space="preserve">   AUTRES VOLAILLES VIVANTES, D'UN POIDS N'EXCEDANT PAS 185 G</v>
      </c>
      <c r="C1713">
        <v>88</v>
      </c>
      <c r="D1713">
        <v>50000</v>
      </c>
    </row>
    <row r="1714" spans="1:4" x14ac:dyDescent="0.25">
      <c r="A1714" t="str">
        <f>T("   010690")</f>
        <v xml:space="preserve">   010690</v>
      </c>
      <c r="B1714" t="str">
        <f>T("   AUTRES")</f>
        <v xml:space="preserve">   AUTRES</v>
      </c>
      <c r="C1714">
        <v>400</v>
      </c>
      <c r="D1714">
        <v>500000</v>
      </c>
    </row>
    <row r="1715" spans="1:4" x14ac:dyDescent="0.25">
      <c r="A1715" t="str">
        <f>T("   030219")</f>
        <v xml:space="preserve">   030219</v>
      </c>
      <c r="B1715" t="str">
        <f>T("   AUTRES")</f>
        <v xml:space="preserve">   AUTRES</v>
      </c>
      <c r="C1715">
        <v>51000</v>
      </c>
      <c r="D1715">
        <v>2873078</v>
      </c>
    </row>
    <row r="1716" spans="1:4" x14ac:dyDescent="0.25">
      <c r="A1716" t="str">
        <f>T("   030339")</f>
        <v xml:space="preserve">   030339</v>
      </c>
      <c r="B1716" t="str">
        <f>T("   AUTRES")</f>
        <v xml:space="preserve">   AUTRES</v>
      </c>
      <c r="C1716">
        <v>90000</v>
      </c>
      <c r="D1716">
        <v>36000000</v>
      </c>
    </row>
    <row r="1717" spans="1:4" x14ac:dyDescent="0.25">
      <c r="A1717" t="str">
        <f>T("   030379")</f>
        <v xml:space="preserve">   030379</v>
      </c>
      <c r="B1717" t="str">
        <f>T("   AUTRES POISSONS ENTIERS CONGELES.(FOIES,OEUFS,LAITANCES EXCLUS)")</f>
        <v xml:space="preserve">   AUTRES POISSONS ENTIERS CONGELES.(FOIES,OEUFS,LAITANCES EXCLUS)</v>
      </c>
      <c r="C1717">
        <v>777591</v>
      </c>
      <c r="D1717">
        <v>253521993</v>
      </c>
    </row>
    <row r="1718" spans="1:4" x14ac:dyDescent="0.25">
      <c r="A1718" t="str">
        <f>T("   030530")</f>
        <v xml:space="preserve">   030530</v>
      </c>
      <c r="B1718" t="str">
        <f>T("   FILETS DE POISSONS SALES,SECHES OU EN SAUMURE, MAIS NON FUMES")</f>
        <v xml:space="preserve">   FILETS DE POISSONS SALES,SECHES OU EN SAUMURE, MAIS NON FUMES</v>
      </c>
      <c r="C1718">
        <v>164</v>
      </c>
      <c r="D1718">
        <v>461960</v>
      </c>
    </row>
    <row r="1719" spans="1:4" x14ac:dyDescent="0.25">
      <c r="A1719" t="str">
        <f>T("   030549")</f>
        <v xml:space="preserve">   030549</v>
      </c>
      <c r="B1719" t="str">
        <f>T("   AUTRES")</f>
        <v xml:space="preserve">   AUTRES</v>
      </c>
      <c r="C1719">
        <v>222.46</v>
      </c>
      <c r="D1719">
        <v>857280</v>
      </c>
    </row>
    <row r="1720" spans="1:4" x14ac:dyDescent="0.25">
      <c r="A1720" t="str">
        <f>T("   030611")</f>
        <v xml:space="preserve">   030611</v>
      </c>
      <c r="B1720" t="str">
        <f>T("   LANGOUSTES (PALINURUS SPP., PANULIRUS SPP., JASUS SPP.)")</f>
        <v xml:space="preserve">   LANGOUSTES (PALINURUS SPP., PANULIRUS SPP., JASUS SPP.)</v>
      </c>
      <c r="C1720">
        <v>480</v>
      </c>
      <c r="D1720">
        <v>192000</v>
      </c>
    </row>
    <row r="1721" spans="1:4" x14ac:dyDescent="0.25">
      <c r="A1721" t="str">
        <f>T("   040221")</f>
        <v xml:space="preserve">   040221</v>
      </c>
      <c r="B1721" t="str">
        <f>T("   SANS ADDITION DE SUCRE OU D'AUTRES EDULCORANTS")</f>
        <v xml:space="preserve">   SANS ADDITION DE SUCRE OU D'AUTRES EDULCORANTS</v>
      </c>
      <c r="C1721">
        <v>10000</v>
      </c>
      <c r="D1721">
        <v>2500000</v>
      </c>
    </row>
    <row r="1722" spans="1:4" x14ac:dyDescent="0.25">
      <c r="A1722" t="str">
        <f>T("   040229")</f>
        <v xml:space="preserve">   040229</v>
      </c>
      <c r="B1722" t="str">
        <f>T("   AUTRES")</f>
        <v xml:space="preserve">   AUTRES</v>
      </c>
      <c r="C1722">
        <v>25000</v>
      </c>
      <c r="D1722">
        <v>5000000</v>
      </c>
    </row>
    <row r="1723" spans="1:4" x14ac:dyDescent="0.25">
      <c r="A1723" t="str">
        <f>T("   040291")</f>
        <v xml:space="preserve">   040291</v>
      </c>
      <c r="B1723" t="str">
        <f>T("   SANS ADDITION DE SUCRE OU D'AUTRES EDULCORANTS")</f>
        <v xml:space="preserve">   SANS ADDITION DE SUCRE OU D'AUTRES EDULCORANTS</v>
      </c>
      <c r="C1723">
        <v>200</v>
      </c>
      <c r="D1723">
        <v>200000</v>
      </c>
    </row>
    <row r="1724" spans="1:4" x14ac:dyDescent="0.25">
      <c r="A1724" t="str">
        <f>T("   040310")</f>
        <v xml:space="preserve">   040310</v>
      </c>
      <c r="B1724" t="str">
        <f>T("   YOGHOURT")</f>
        <v xml:space="preserve">   YOGHOURT</v>
      </c>
      <c r="C1724">
        <v>71</v>
      </c>
      <c r="D1724">
        <v>160665</v>
      </c>
    </row>
    <row r="1725" spans="1:4" x14ac:dyDescent="0.25">
      <c r="A1725" t="str">
        <f>T("   040510")</f>
        <v xml:space="preserve">   040510</v>
      </c>
      <c r="B1725" t="str">
        <f>T("   BEURRE")</f>
        <v xml:space="preserve">   BEURRE</v>
      </c>
      <c r="C1725">
        <v>7277038.8700000001</v>
      </c>
      <c r="D1725">
        <v>4488525592</v>
      </c>
    </row>
    <row r="1726" spans="1:4" x14ac:dyDescent="0.25">
      <c r="A1726" t="str">
        <f>T("   040590")</f>
        <v xml:space="preserve">   040590</v>
      </c>
      <c r="B1726" t="str">
        <f>T("   AUTRES")</f>
        <v xml:space="preserve">   AUTRES</v>
      </c>
      <c r="C1726">
        <v>1031</v>
      </c>
      <c r="D1726">
        <v>3450000</v>
      </c>
    </row>
    <row r="1727" spans="1:4" x14ac:dyDescent="0.25">
      <c r="A1727" t="str">
        <f>T("   040610")</f>
        <v xml:space="preserve">   040610</v>
      </c>
      <c r="B1727" t="str">
        <f>T("   FROMAGES FRAIS (NON AFFINES), Y COMPRIS LE FROMAGE DE LACTOSERUM, ET CAILLEBOTTE")</f>
        <v xml:space="preserve">   FROMAGES FRAIS (NON AFFINES), Y COMPRIS LE FROMAGE DE LACTOSERUM, ET CAILLEBOTTE</v>
      </c>
      <c r="C1727">
        <v>31</v>
      </c>
      <c r="D1727">
        <v>150451</v>
      </c>
    </row>
    <row r="1728" spans="1:4" x14ac:dyDescent="0.25">
      <c r="A1728" t="str">
        <f>T("   040690")</f>
        <v xml:space="preserve">   040690</v>
      </c>
      <c r="B1728" t="str">
        <f>T("   AUTRES FROMAGES")</f>
        <v xml:space="preserve">   AUTRES FROMAGES</v>
      </c>
      <c r="C1728">
        <v>464.67</v>
      </c>
      <c r="D1728">
        <v>1370606</v>
      </c>
    </row>
    <row r="1729" spans="1:4" x14ac:dyDescent="0.25">
      <c r="A1729" t="str">
        <f>T("   040900")</f>
        <v xml:space="preserve">   040900</v>
      </c>
      <c r="B1729" t="str">
        <f>T("   MIEL NATUREL.")</f>
        <v xml:space="preserve">   MIEL NATUREL.</v>
      </c>
      <c r="C1729">
        <v>18000</v>
      </c>
      <c r="D1729">
        <v>4500542</v>
      </c>
    </row>
    <row r="1730" spans="1:4" x14ac:dyDescent="0.25">
      <c r="A1730" t="str">
        <f>T("   060390")</f>
        <v xml:space="preserve">   060390</v>
      </c>
      <c r="B1730" t="str">
        <f>T("   AUTRES")</f>
        <v xml:space="preserve">   AUTRES</v>
      </c>
      <c r="C1730">
        <v>1600</v>
      </c>
      <c r="D1730">
        <v>787152</v>
      </c>
    </row>
    <row r="1731" spans="1:4" x14ac:dyDescent="0.25">
      <c r="A1731" t="str">
        <f>T("   060499")</f>
        <v xml:space="preserve">   060499</v>
      </c>
      <c r="B1731" t="str">
        <f>T("   AUTRES FEUILLAGES,FEUILLES,RAMEAUX,NON FRAIS,POUR BOUQUETS OU ORNEMENTS")</f>
        <v xml:space="preserve">   AUTRES FEUILLAGES,FEUILLES,RAMEAUX,NON FRAIS,POUR BOUQUETS OU ORNEMENTS</v>
      </c>
      <c r="C1731">
        <v>30000</v>
      </c>
      <c r="D1731">
        <v>1800000</v>
      </c>
    </row>
    <row r="1732" spans="1:4" x14ac:dyDescent="0.25">
      <c r="A1732" t="str">
        <f>T("   070960")</f>
        <v xml:space="preserve">   070960</v>
      </c>
      <c r="B1732" t="str">
        <f>T("   PIMENTS DU GENRE CAPSICUM OU DU GENRE PIMENTA")</f>
        <v xml:space="preserve">   PIMENTS DU GENRE CAPSICUM OU DU GENRE PIMENTA</v>
      </c>
      <c r="C1732">
        <v>6380</v>
      </c>
      <c r="D1732">
        <v>2002000</v>
      </c>
    </row>
    <row r="1733" spans="1:4" x14ac:dyDescent="0.25">
      <c r="A1733" t="str">
        <f>T("   071022")</f>
        <v xml:space="preserve">   071022</v>
      </c>
      <c r="B1733" t="str">
        <f>T("   HARICOTS (VIGNA SPP., PHASEOLUS SPP.)")</f>
        <v xml:space="preserve">   HARICOTS (VIGNA SPP., PHASEOLUS SPP.)</v>
      </c>
      <c r="C1733">
        <v>13000</v>
      </c>
      <c r="D1733">
        <v>1958500</v>
      </c>
    </row>
    <row r="1734" spans="1:4" x14ac:dyDescent="0.25">
      <c r="A1734" t="str">
        <f>T("   071239")</f>
        <v xml:space="preserve">   071239</v>
      </c>
      <c r="B1734" t="str">
        <f>T("   AUTRES")</f>
        <v xml:space="preserve">   AUTRES</v>
      </c>
      <c r="C1734">
        <v>8900</v>
      </c>
      <c r="D1734">
        <v>1557500</v>
      </c>
    </row>
    <row r="1735" spans="1:4" x14ac:dyDescent="0.25">
      <c r="A1735" t="str">
        <f>T("   071339")</f>
        <v xml:space="preserve">   071339</v>
      </c>
      <c r="B1735" t="str">
        <f>T("   AUTRES")</f>
        <v xml:space="preserve">   AUTRES</v>
      </c>
      <c r="C1735">
        <v>33600</v>
      </c>
      <c r="D1735">
        <v>6681000</v>
      </c>
    </row>
    <row r="1736" spans="1:4" x14ac:dyDescent="0.25">
      <c r="A1736" t="str">
        <f>T("   071490")</f>
        <v xml:space="preserve">   071490</v>
      </c>
      <c r="B1736" t="str">
        <f>T("   AUTRES")</f>
        <v xml:space="preserve">   AUTRES</v>
      </c>
      <c r="C1736">
        <v>264200</v>
      </c>
      <c r="D1736">
        <v>16200000</v>
      </c>
    </row>
    <row r="1737" spans="1:4" x14ac:dyDescent="0.25">
      <c r="A1737" t="str">
        <f>T("   080131")</f>
        <v xml:space="preserve">   080131</v>
      </c>
      <c r="B1737" t="str">
        <f>T("   EN COQUES")</f>
        <v xml:space="preserve">   EN COQUES</v>
      </c>
      <c r="C1737">
        <v>117494543</v>
      </c>
      <c r="D1737">
        <v>32086037053</v>
      </c>
    </row>
    <row r="1738" spans="1:4" x14ac:dyDescent="0.25">
      <c r="A1738" t="str">
        <f>T("   080132")</f>
        <v xml:space="preserve">   080132</v>
      </c>
      <c r="B1738" t="str">
        <f>T("   SANS COQUES")</f>
        <v xml:space="preserve">   SANS COQUES</v>
      </c>
      <c r="C1738">
        <v>102808</v>
      </c>
      <c r="D1738">
        <v>316614933</v>
      </c>
    </row>
    <row r="1739" spans="1:4" x14ac:dyDescent="0.25">
      <c r="A1739" t="str">
        <f>T("   080211")</f>
        <v xml:space="preserve">   080211</v>
      </c>
      <c r="B1739" t="str">
        <f>T("   EN COQUES")</f>
        <v xml:space="preserve">   EN COQUES</v>
      </c>
      <c r="C1739">
        <v>39662444</v>
      </c>
      <c r="D1739">
        <v>9805946654</v>
      </c>
    </row>
    <row r="1740" spans="1:4" x14ac:dyDescent="0.25">
      <c r="A1740" t="str">
        <f>T("   080212")</f>
        <v xml:space="preserve">   080212</v>
      </c>
      <c r="B1740" t="str">
        <f>T("   SANS COQUES")</f>
        <v xml:space="preserve">   SANS COQUES</v>
      </c>
      <c r="C1740">
        <v>889773</v>
      </c>
      <c r="D1740">
        <v>1392680547</v>
      </c>
    </row>
    <row r="1741" spans="1:4" x14ac:dyDescent="0.25">
      <c r="A1741" t="str">
        <f>T("   080290")</f>
        <v xml:space="preserve">   080290</v>
      </c>
      <c r="B1741" t="str">
        <f>T("   AUTRES")</f>
        <v xml:space="preserve">   AUTRES</v>
      </c>
      <c r="C1741">
        <v>3252</v>
      </c>
      <c r="D1741">
        <v>1208125</v>
      </c>
    </row>
    <row r="1742" spans="1:4" x14ac:dyDescent="0.25">
      <c r="A1742" t="str">
        <f>T("   080430")</f>
        <v xml:space="preserve">   080430</v>
      </c>
      <c r="B1742" t="str">
        <f>T("   ANANAS")</f>
        <v xml:space="preserve">   ANANAS</v>
      </c>
      <c r="C1742">
        <v>1016087</v>
      </c>
      <c r="D1742">
        <v>93624317</v>
      </c>
    </row>
    <row r="1743" spans="1:4" x14ac:dyDescent="0.25">
      <c r="A1743" t="str">
        <f>T("   080520")</f>
        <v xml:space="preserve">   080520</v>
      </c>
      <c r="B1743" t="str">
        <f>T("   MANDARINES (Y COMPRIS LES TANGERINES ET SATSUMAS); CLEMENTINES, WILKINGS ET HYBRIDES")</f>
        <v xml:space="preserve">   MANDARINES (Y COMPRIS LES TANGERINES ET SATSUMAS); CLEMENTINES, WILKINGS ET HYBRIDES</v>
      </c>
      <c r="C1743">
        <v>18207</v>
      </c>
      <c r="D1743">
        <v>2000000</v>
      </c>
    </row>
    <row r="1744" spans="1:4" x14ac:dyDescent="0.25">
      <c r="A1744" t="str">
        <f>T("   081290")</f>
        <v xml:space="preserve">   081290</v>
      </c>
      <c r="B1744" t="str">
        <f>T("   AUTRES")</f>
        <v xml:space="preserve">   AUTRES</v>
      </c>
      <c r="C1744">
        <v>2900</v>
      </c>
      <c r="D1744">
        <v>1120000</v>
      </c>
    </row>
    <row r="1745" spans="1:4" x14ac:dyDescent="0.25">
      <c r="A1745" t="str">
        <f>T("   081340")</f>
        <v xml:space="preserve">   081340</v>
      </c>
      <c r="B1745" t="str">
        <f>T("   AUTRES FRUITS")</f>
        <v xml:space="preserve">   AUTRES FRUITS</v>
      </c>
      <c r="C1745">
        <v>95660</v>
      </c>
      <c r="D1745">
        <v>7707600</v>
      </c>
    </row>
    <row r="1746" spans="1:4" x14ac:dyDescent="0.25">
      <c r="A1746" t="str">
        <f>T("   090111")</f>
        <v xml:space="preserve">   090111</v>
      </c>
      <c r="B1746" t="str">
        <f>T("   NON DECAFEINE")</f>
        <v xml:space="preserve">   NON DECAFEINE</v>
      </c>
      <c r="C1746">
        <v>200</v>
      </c>
      <c r="D1746">
        <v>100000</v>
      </c>
    </row>
    <row r="1747" spans="1:4" x14ac:dyDescent="0.25">
      <c r="A1747" t="str">
        <f>T("   090420")</f>
        <v xml:space="preserve">   090420</v>
      </c>
      <c r="B1747" t="str">
        <f>T("   PIMENTS SECHES OU BROYES OU PULVERISES")</f>
        <v xml:space="preserve">   PIMENTS SECHES OU BROYES OU PULVERISES</v>
      </c>
      <c r="C1747">
        <v>22907</v>
      </c>
      <c r="D1747">
        <v>32069800</v>
      </c>
    </row>
    <row r="1748" spans="1:4" x14ac:dyDescent="0.25">
      <c r="A1748" t="str">
        <f>T("   090810")</f>
        <v xml:space="preserve">   090810</v>
      </c>
      <c r="B1748" t="str">
        <f>T("   NOIX MUSCADES")</f>
        <v xml:space="preserve">   NOIX MUSCADES</v>
      </c>
      <c r="C1748">
        <v>8000</v>
      </c>
      <c r="D1748">
        <v>1200000</v>
      </c>
    </row>
    <row r="1749" spans="1:4" x14ac:dyDescent="0.25">
      <c r="A1749" t="str">
        <f>T("   091010")</f>
        <v xml:space="preserve">   091010</v>
      </c>
      <c r="B1749" t="str">
        <f>T("   Gingembre")</f>
        <v xml:space="preserve">   Gingembre</v>
      </c>
      <c r="C1749">
        <v>284879</v>
      </c>
      <c r="D1749">
        <v>31173066</v>
      </c>
    </row>
    <row r="1750" spans="1:4" x14ac:dyDescent="0.25">
      <c r="A1750" t="str">
        <f>T("   100110")</f>
        <v xml:space="preserve">   100110</v>
      </c>
      <c r="B1750" t="str">
        <f>T("   Froment (ble) dur")</f>
        <v xml:space="preserve">   Froment (ble) dur</v>
      </c>
      <c r="C1750">
        <v>1113590</v>
      </c>
      <c r="D1750">
        <v>245955354</v>
      </c>
    </row>
    <row r="1751" spans="1:4" x14ac:dyDescent="0.25">
      <c r="A1751" t="str">
        <f>T("   100590")</f>
        <v xml:space="preserve">   100590</v>
      </c>
      <c r="B1751" t="str">
        <f>T("   AUTRE")</f>
        <v xml:space="preserve">   AUTRE</v>
      </c>
      <c r="C1751">
        <v>5800</v>
      </c>
      <c r="D1751">
        <v>1019000</v>
      </c>
    </row>
    <row r="1752" spans="1:4" x14ac:dyDescent="0.25">
      <c r="A1752" t="str">
        <f>T("   100630")</f>
        <v xml:space="preserve">   100630</v>
      </c>
      <c r="B1752" t="str">
        <f>T("   RIZ SEMIBLANCHI OU BLANCHI, MEME POLI OU GLACE")</f>
        <v xml:space="preserve">   RIZ SEMIBLANCHI OU BLANCHI, MEME POLI OU GLACE</v>
      </c>
      <c r="C1752">
        <v>6185150</v>
      </c>
      <c r="D1752">
        <v>2061222336</v>
      </c>
    </row>
    <row r="1753" spans="1:4" x14ac:dyDescent="0.25">
      <c r="A1753" t="str">
        <f>T("   100890")</f>
        <v xml:space="preserve">   100890</v>
      </c>
      <c r="B1753" t="str">
        <f>T("   Autres cereales")</f>
        <v xml:space="preserve">   Autres cereales</v>
      </c>
      <c r="C1753">
        <v>5000</v>
      </c>
      <c r="D1753">
        <v>3475000</v>
      </c>
    </row>
    <row r="1754" spans="1:4" x14ac:dyDescent="0.25">
      <c r="A1754" t="str">
        <f>T("   110100")</f>
        <v xml:space="preserve">   110100</v>
      </c>
      <c r="B1754" t="str">
        <f>T("   FARINES DE FROMENT (BLE) OU DE METEIL.")</f>
        <v xml:space="preserve">   FARINES DE FROMENT (BLE) OU DE METEIL.</v>
      </c>
      <c r="C1754">
        <v>600000</v>
      </c>
      <c r="D1754">
        <v>139839798</v>
      </c>
    </row>
    <row r="1755" spans="1:4" x14ac:dyDescent="0.25">
      <c r="A1755" t="str">
        <f>T("   110220")</f>
        <v xml:space="preserve">   110220</v>
      </c>
      <c r="B1755" t="str">
        <f>T("   Farine de mais")</f>
        <v xml:space="preserve">   Farine de mais</v>
      </c>
      <c r="C1755">
        <v>600</v>
      </c>
      <c r="D1755">
        <v>90000</v>
      </c>
    </row>
    <row r="1756" spans="1:4" x14ac:dyDescent="0.25">
      <c r="A1756" t="str">
        <f>T("   110290")</f>
        <v xml:space="preserve">   110290</v>
      </c>
      <c r="B1756" t="str">
        <f>T("   AUTRES")</f>
        <v xml:space="preserve">   AUTRES</v>
      </c>
      <c r="C1756">
        <v>1399069</v>
      </c>
      <c r="D1756">
        <v>773541643</v>
      </c>
    </row>
    <row r="1757" spans="1:4" x14ac:dyDescent="0.25">
      <c r="A1757" t="str">
        <f>T("   110311")</f>
        <v xml:space="preserve">   110311</v>
      </c>
      <c r="B1757" t="str">
        <f>T("   DE FROMENT (BLE)")</f>
        <v xml:space="preserve">   DE FROMENT (BLE)</v>
      </c>
      <c r="C1757">
        <v>931710</v>
      </c>
      <c r="D1757">
        <v>284982601</v>
      </c>
    </row>
    <row r="1758" spans="1:4" x14ac:dyDescent="0.25">
      <c r="A1758" t="str">
        <f>T("   110423")</f>
        <v xml:space="preserve">   110423</v>
      </c>
      <c r="B1758" t="str">
        <f>T("   DE MAIS")</f>
        <v xml:space="preserve">   DE MAIS</v>
      </c>
      <c r="C1758">
        <v>315000</v>
      </c>
      <c r="D1758">
        <v>105265000</v>
      </c>
    </row>
    <row r="1759" spans="1:4" x14ac:dyDescent="0.25">
      <c r="A1759" t="str">
        <f>T("   110510")</f>
        <v xml:space="preserve">   110510</v>
      </c>
      <c r="B1759" t="str">
        <f>T("   FARINE, SEMOULE ET POUDRE")</f>
        <v xml:space="preserve">   FARINE, SEMOULE ET POUDRE</v>
      </c>
      <c r="C1759">
        <v>400</v>
      </c>
      <c r="D1759">
        <v>80000</v>
      </c>
    </row>
    <row r="1760" spans="1:4" x14ac:dyDescent="0.25">
      <c r="A1760" t="str">
        <f>T("   110620")</f>
        <v xml:space="preserve">   110620</v>
      </c>
      <c r="B1760" t="str">
        <f>T("   DE SAGOU OU DES RACINES OU TUBERCULES DU N° 07.14")</f>
        <v xml:space="preserve">   DE SAGOU OU DES RACINES OU TUBERCULES DU N° 07.14</v>
      </c>
      <c r="C1760">
        <v>455500</v>
      </c>
      <c r="D1760">
        <v>78912141</v>
      </c>
    </row>
    <row r="1761" spans="1:4" x14ac:dyDescent="0.25">
      <c r="A1761" t="str">
        <f>T("   110630")</f>
        <v xml:space="preserve">   110630</v>
      </c>
      <c r="B1761" t="str">
        <f>T("   DES PRODUITS DU CHAPITRE 8")</f>
        <v xml:space="preserve">   DES PRODUITS DU CHAPITRE 8</v>
      </c>
      <c r="C1761">
        <v>6136</v>
      </c>
      <c r="D1761">
        <v>18008490</v>
      </c>
    </row>
    <row r="1762" spans="1:4" x14ac:dyDescent="0.25">
      <c r="A1762" t="str">
        <f>T("   110710")</f>
        <v xml:space="preserve">   110710</v>
      </c>
      <c r="B1762" t="str">
        <f>T("   NON TORREFIE")</f>
        <v xml:space="preserve">   NON TORREFIE</v>
      </c>
      <c r="C1762">
        <v>100380</v>
      </c>
      <c r="D1762">
        <v>46000000</v>
      </c>
    </row>
    <row r="1763" spans="1:4" x14ac:dyDescent="0.25">
      <c r="A1763" t="str">
        <f>T("   110720")</f>
        <v xml:space="preserve">   110720</v>
      </c>
      <c r="B1763" t="str">
        <f>T("   TORREFIE")</f>
        <v xml:space="preserve">   TORREFIE</v>
      </c>
      <c r="C1763">
        <v>2000</v>
      </c>
      <c r="D1763">
        <v>1888000</v>
      </c>
    </row>
    <row r="1764" spans="1:4" x14ac:dyDescent="0.25">
      <c r="A1764" t="str">
        <f>T("   110814")</f>
        <v xml:space="preserve">   110814</v>
      </c>
      <c r="B1764" t="str">
        <f>T("   FECULE DE MANIOC (CASSAVE)")</f>
        <v xml:space="preserve">   FECULE DE MANIOC (CASSAVE)</v>
      </c>
      <c r="C1764">
        <v>2000</v>
      </c>
      <c r="D1764">
        <v>552500</v>
      </c>
    </row>
    <row r="1765" spans="1:4" x14ac:dyDescent="0.25">
      <c r="A1765" t="str">
        <f>T("   110819")</f>
        <v xml:space="preserve">   110819</v>
      </c>
      <c r="B1765" t="str">
        <f>T("   Autres amidons et fecules")</f>
        <v xml:space="preserve">   Autres amidons et fecules</v>
      </c>
      <c r="C1765">
        <v>400</v>
      </c>
      <c r="D1765">
        <v>80000</v>
      </c>
    </row>
    <row r="1766" spans="1:4" x14ac:dyDescent="0.25">
      <c r="A1766" t="str">
        <f>T("   120100")</f>
        <v xml:space="preserve">   120100</v>
      </c>
      <c r="B1766" t="str">
        <f>T("   Feves de soja,meme concassees")</f>
        <v xml:space="preserve">   Feves de soja,meme concassees</v>
      </c>
      <c r="C1766">
        <v>1674410</v>
      </c>
      <c r="D1766">
        <v>331605000</v>
      </c>
    </row>
    <row r="1767" spans="1:4" x14ac:dyDescent="0.25">
      <c r="A1767" t="str">
        <f>T("   120210")</f>
        <v xml:space="preserve">   120210</v>
      </c>
      <c r="B1767" t="str">
        <f>T("   ARACHIDES,NON GRILLEES,EN COQUES")</f>
        <v xml:space="preserve">   ARACHIDES,NON GRILLEES,EN COQUES</v>
      </c>
      <c r="C1767">
        <v>6000</v>
      </c>
      <c r="D1767">
        <v>3877085</v>
      </c>
    </row>
    <row r="1768" spans="1:4" x14ac:dyDescent="0.25">
      <c r="A1768" t="str">
        <f>T("   120590")</f>
        <v xml:space="preserve">   120590</v>
      </c>
      <c r="B1768" t="str">
        <f>T("   AUTRES")</f>
        <v xml:space="preserve">   AUTRES</v>
      </c>
      <c r="C1768">
        <v>11050</v>
      </c>
      <c r="D1768">
        <v>126943744</v>
      </c>
    </row>
    <row r="1769" spans="1:4" x14ac:dyDescent="0.25">
      <c r="A1769" t="str">
        <f>T("   120720")</f>
        <v xml:space="preserve">   120720</v>
      </c>
      <c r="B1769" t="str">
        <f>T("   GRAINES DE COTON,MEME CONCASSEES")</f>
        <v xml:space="preserve">   GRAINES DE COTON,MEME CONCASSEES</v>
      </c>
      <c r="C1769">
        <v>2557408</v>
      </c>
      <c r="D1769">
        <v>335325980</v>
      </c>
    </row>
    <row r="1770" spans="1:4" x14ac:dyDescent="0.25">
      <c r="A1770" t="str">
        <f>T("   120740")</f>
        <v xml:space="preserve">   120740</v>
      </c>
      <c r="B1770" t="str">
        <f>T("   GRAINES DE SESAME")</f>
        <v xml:space="preserve">   GRAINES DE SESAME</v>
      </c>
      <c r="C1770">
        <v>1111090</v>
      </c>
      <c r="D1770">
        <v>255268000</v>
      </c>
    </row>
    <row r="1771" spans="1:4" x14ac:dyDescent="0.25">
      <c r="A1771" t="str">
        <f>T("   120799")</f>
        <v xml:space="preserve">   120799</v>
      </c>
      <c r="B1771" t="str">
        <f>T("   AUTRES")</f>
        <v xml:space="preserve">   AUTRES</v>
      </c>
      <c r="C1771">
        <v>3969941</v>
      </c>
      <c r="D1771">
        <v>947003136</v>
      </c>
    </row>
    <row r="1772" spans="1:4" x14ac:dyDescent="0.25">
      <c r="A1772" t="str">
        <f>T("   120890")</f>
        <v xml:space="preserve">   120890</v>
      </c>
      <c r="B1772" t="str">
        <f>T("   AUTRES")</f>
        <v xml:space="preserve">   AUTRES</v>
      </c>
      <c r="C1772">
        <v>4119</v>
      </c>
      <c r="D1772">
        <v>2509000</v>
      </c>
    </row>
    <row r="1773" spans="1:4" x14ac:dyDescent="0.25">
      <c r="A1773" t="str">
        <f>T("   121230")</f>
        <v xml:space="preserve">   121230</v>
      </c>
      <c r="B1773" t="str">
        <f>T("   NOYAUX,AMANDES D'ABRICOTS,PECHES,PRUNES,DESTINES A L'ALIMENTATION HUMAINE")</f>
        <v xml:space="preserve">   NOYAUX,AMANDES D'ABRICOTS,PECHES,PRUNES,DESTINES A L'ALIMENTATION HUMAINE</v>
      </c>
      <c r="C1773">
        <v>12293.37</v>
      </c>
      <c r="D1773">
        <v>1269803820</v>
      </c>
    </row>
    <row r="1774" spans="1:4" x14ac:dyDescent="0.25">
      <c r="A1774" t="str">
        <f>T("   121299")</f>
        <v xml:space="preserve">   121299</v>
      </c>
      <c r="B1774" t="str">
        <f>T("   AUTRES")</f>
        <v xml:space="preserve">   AUTRES</v>
      </c>
      <c r="C1774">
        <v>117800</v>
      </c>
      <c r="D1774">
        <v>17662500</v>
      </c>
    </row>
    <row r="1775" spans="1:4" x14ac:dyDescent="0.25">
      <c r="A1775" t="str">
        <f>T("   140420")</f>
        <v xml:space="preserve">   140420</v>
      </c>
      <c r="B1775" t="str">
        <f>T("   Linters de coton")</f>
        <v xml:space="preserve">   Linters de coton</v>
      </c>
      <c r="C1775">
        <v>1357771</v>
      </c>
      <c r="D1775">
        <v>245460730</v>
      </c>
    </row>
    <row r="1776" spans="1:4" x14ac:dyDescent="0.25">
      <c r="A1776" t="str">
        <f>T("   140490")</f>
        <v xml:space="preserve">   140490</v>
      </c>
      <c r="B1776" t="str">
        <f>T("   AUTRES")</f>
        <v xml:space="preserve">   AUTRES</v>
      </c>
      <c r="C1776">
        <v>5000</v>
      </c>
      <c r="D1776">
        <v>739129</v>
      </c>
    </row>
    <row r="1777" spans="1:4" x14ac:dyDescent="0.25">
      <c r="A1777" t="str">
        <f>T("   150790")</f>
        <v xml:space="preserve">   150790</v>
      </c>
      <c r="B1777" t="str">
        <f>T("   AUTRES")</f>
        <v xml:space="preserve">   AUTRES</v>
      </c>
      <c r="C1777">
        <v>120920</v>
      </c>
      <c r="D1777">
        <v>54504000</v>
      </c>
    </row>
    <row r="1778" spans="1:4" x14ac:dyDescent="0.25">
      <c r="A1778" t="str">
        <f>T("   151110")</f>
        <v xml:space="preserve">   151110</v>
      </c>
      <c r="B1778" t="str">
        <f>T("   HUILE BRUTE")</f>
        <v xml:space="preserve">   HUILE BRUTE</v>
      </c>
      <c r="C1778">
        <v>3709</v>
      </c>
      <c r="D1778">
        <v>2002175</v>
      </c>
    </row>
    <row r="1779" spans="1:4" x14ac:dyDescent="0.25">
      <c r="A1779" t="str">
        <f>T("   151190")</f>
        <v xml:space="preserve">   151190</v>
      </c>
      <c r="B1779" t="str">
        <f>T("   AUTRES")</f>
        <v xml:space="preserve">   AUTRES</v>
      </c>
      <c r="C1779">
        <v>62300</v>
      </c>
      <c r="D1779">
        <v>38630000</v>
      </c>
    </row>
    <row r="1780" spans="1:4" x14ac:dyDescent="0.25">
      <c r="A1780" t="str">
        <f>T("   151229")</f>
        <v xml:space="preserve">   151229</v>
      </c>
      <c r="B1780" t="str">
        <f>T("   AUTRES")</f>
        <v xml:space="preserve">   AUTRES</v>
      </c>
      <c r="C1780">
        <v>4737160</v>
      </c>
      <c r="D1780">
        <v>2752431100</v>
      </c>
    </row>
    <row r="1781" spans="1:4" x14ac:dyDescent="0.25">
      <c r="A1781" t="str">
        <f>T("   151550")</f>
        <v xml:space="preserve">   151550</v>
      </c>
      <c r="B1781" t="str">
        <f>T("   HUILE DE SESAME ET SES FRACTIONS")</f>
        <v xml:space="preserve">   HUILE DE SESAME ET SES FRACTIONS</v>
      </c>
      <c r="C1781">
        <v>5</v>
      </c>
      <c r="D1781">
        <v>3750</v>
      </c>
    </row>
    <row r="1782" spans="1:4" x14ac:dyDescent="0.25">
      <c r="A1782" t="str">
        <f>T("   151590")</f>
        <v xml:space="preserve">   151590</v>
      </c>
      <c r="B1782" t="str">
        <f>T("   AUTRES")</f>
        <v xml:space="preserve">   AUTRES</v>
      </c>
      <c r="C1782">
        <v>8807</v>
      </c>
      <c r="D1782">
        <v>12272082</v>
      </c>
    </row>
    <row r="1783" spans="1:4" x14ac:dyDescent="0.25">
      <c r="A1783" t="str">
        <f>T("   151620")</f>
        <v xml:space="preserve">   151620</v>
      </c>
      <c r="B1783" t="str">
        <f>T("   GRAISSES ET HUILES VEGETALES ET LEURS FRACTIONS")</f>
        <v xml:space="preserve">   GRAISSES ET HUILES VEGETALES ET LEURS FRACTIONS</v>
      </c>
      <c r="C1783">
        <v>676427</v>
      </c>
      <c r="D1783">
        <v>281259800</v>
      </c>
    </row>
    <row r="1784" spans="1:4" x14ac:dyDescent="0.25">
      <c r="A1784" t="str">
        <f>T("   151710")</f>
        <v xml:space="preserve">   151710</v>
      </c>
      <c r="B1784" t="str">
        <f>T("   Margarine, a l'exclusion de la margarine liquide")</f>
        <v xml:space="preserve">   Margarine, a l'exclusion de la margarine liquide</v>
      </c>
      <c r="C1784">
        <v>15960</v>
      </c>
      <c r="D1784">
        <v>7410000</v>
      </c>
    </row>
    <row r="1785" spans="1:4" x14ac:dyDescent="0.25">
      <c r="A1785" t="str">
        <f>T("   151790")</f>
        <v xml:space="preserve">   151790</v>
      </c>
      <c r="B1785" t="str">
        <f>T("   AUTRES")</f>
        <v xml:space="preserve">   AUTRES</v>
      </c>
      <c r="C1785">
        <v>65</v>
      </c>
      <c r="D1785">
        <v>30000</v>
      </c>
    </row>
    <row r="1786" spans="1:4" x14ac:dyDescent="0.25">
      <c r="A1786" t="str">
        <f>T("   160220")</f>
        <v xml:space="preserve">   160220</v>
      </c>
      <c r="B1786" t="str">
        <f>T("   DE FOIES DE TOUS ANIMAUX")</f>
        <v xml:space="preserve">   DE FOIES DE TOUS ANIMAUX</v>
      </c>
      <c r="C1786">
        <v>27</v>
      </c>
      <c r="D1786">
        <v>154807</v>
      </c>
    </row>
    <row r="1787" spans="1:4" x14ac:dyDescent="0.25">
      <c r="A1787" t="str">
        <f>T("   160239")</f>
        <v xml:space="preserve">   160239</v>
      </c>
      <c r="B1787" t="str">
        <f>T("   AUTRES")</f>
        <v xml:space="preserve">   AUTRES</v>
      </c>
      <c r="C1787">
        <v>38</v>
      </c>
      <c r="D1787">
        <v>143196</v>
      </c>
    </row>
    <row r="1788" spans="1:4" x14ac:dyDescent="0.25">
      <c r="A1788" t="str">
        <f>T("   170111")</f>
        <v xml:space="preserve">   170111</v>
      </c>
      <c r="B1788" t="str">
        <f>T("   SUCRES BRUTS DE CANNE,SANS AROMATISANTS NI COLORANTS")</f>
        <v xml:space="preserve">   SUCRES BRUTS DE CANNE,SANS AROMATISANTS NI COLORANTS</v>
      </c>
      <c r="C1788">
        <v>15500000</v>
      </c>
      <c r="D1788">
        <v>4370000000</v>
      </c>
    </row>
    <row r="1789" spans="1:4" x14ac:dyDescent="0.25">
      <c r="A1789" t="str">
        <f>T("   180500")</f>
        <v xml:space="preserve">   180500</v>
      </c>
      <c r="B1789" t="str">
        <f>T("   POUDRE DE CACAO, SANS ADDITION DE SUCRE OU D'AUTRES EDULCORANTS.")</f>
        <v xml:space="preserve">   POUDRE DE CACAO, SANS ADDITION DE SUCRE OU D'AUTRES EDULCORANTS.</v>
      </c>
      <c r="C1789">
        <v>512</v>
      </c>
      <c r="D1789">
        <v>65200</v>
      </c>
    </row>
    <row r="1790" spans="1:4" x14ac:dyDescent="0.25">
      <c r="A1790" t="str">
        <f>T("   190190")</f>
        <v xml:space="preserve">   190190</v>
      </c>
      <c r="B1790" t="str">
        <f>T("   AUTRES")</f>
        <v xml:space="preserve">   AUTRES</v>
      </c>
      <c r="C1790">
        <v>10000</v>
      </c>
      <c r="D1790">
        <v>1000000</v>
      </c>
    </row>
    <row r="1791" spans="1:4" x14ac:dyDescent="0.25">
      <c r="A1791" t="str">
        <f>T("   190230")</f>
        <v xml:space="preserve">   190230</v>
      </c>
      <c r="B1791" t="str">
        <f>T("   AUTRES PATES ALIMENTAIRES")</f>
        <v xml:space="preserve">   AUTRES PATES ALIMENTAIRES</v>
      </c>
      <c r="C1791">
        <v>969010</v>
      </c>
      <c r="D1791">
        <v>310003671</v>
      </c>
    </row>
    <row r="1792" spans="1:4" x14ac:dyDescent="0.25">
      <c r="A1792" t="str">
        <f>T("   190490")</f>
        <v xml:space="preserve">   190490</v>
      </c>
      <c r="B1792" t="str">
        <f>T("   AUTRES")</f>
        <v xml:space="preserve">   AUTRES</v>
      </c>
      <c r="C1792">
        <v>23220</v>
      </c>
      <c r="D1792">
        <v>2200000</v>
      </c>
    </row>
    <row r="1793" spans="1:4" x14ac:dyDescent="0.25">
      <c r="A1793" t="str">
        <f>T("   190590")</f>
        <v xml:space="preserve">   190590</v>
      </c>
      <c r="B1793" t="str">
        <f>T("   AUTRES")</f>
        <v xml:space="preserve">   AUTRES</v>
      </c>
      <c r="C1793">
        <v>1400</v>
      </c>
      <c r="D1793">
        <v>1430000</v>
      </c>
    </row>
    <row r="1794" spans="1:4" x14ac:dyDescent="0.25">
      <c r="A1794" t="str">
        <f>T("   200600")</f>
        <v xml:space="preserve">   200600</v>
      </c>
      <c r="B1794" t="str">
        <f>T("   LEGUMES, FRUITS, ECORCES DE FRUITS ET AUTRES PARTIES DE PLANTES, CONFITS AU SUCRE (EGOU")</f>
        <v xml:space="preserve">   LEGUMES, FRUITS, ECORCES DE FRUITS ET AUTRES PARTIES DE PLANTES, CONFITS AU SUCRE (EGOU</v>
      </c>
      <c r="C1794">
        <v>1400</v>
      </c>
      <c r="D1794">
        <v>80000</v>
      </c>
    </row>
    <row r="1795" spans="1:4" x14ac:dyDescent="0.25">
      <c r="A1795" t="str">
        <f>T("   200941")</f>
        <v xml:space="preserve">   200941</v>
      </c>
      <c r="B1795" t="str">
        <f>T("   D’UNE VALEUR BRIX N’EXCEDANT PAS 20")</f>
        <v xml:space="preserve">   D’UNE VALEUR BRIX N’EXCEDANT PAS 20</v>
      </c>
      <c r="C1795">
        <v>871437</v>
      </c>
      <c r="D1795">
        <v>191837100</v>
      </c>
    </row>
    <row r="1796" spans="1:4" x14ac:dyDescent="0.25">
      <c r="A1796" t="str">
        <f>T("   200949")</f>
        <v xml:space="preserve">   200949</v>
      </c>
      <c r="B1796" t="str">
        <f>T("   AUTRES")</f>
        <v xml:space="preserve">   AUTRES</v>
      </c>
      <c r="C1796">
        <v>347610</v>
      </c>
      <c r="D1796">
        <v>51978000</v>
      </c>
    </row>
    <row r="1797" spans="1:4" x14ac:dyDescent="0.25">
      <c r="A1797" t="str">
        <f>T("   200969")</f>
        <v xml:space="preserve">   200969</v>
      </c>
      <c r="B1797" t="str">
        <f>T("   AUTRES")</f>
        <v xml:space="preserve">   AUTRES</v>
      </c>
      <c r="C1797">
        <v>20220</v>
      </c>
      <c r="D1797">
        <v>3751763</v>
      </c>
    </row>
    <row r="1798" spans="1:4" x14ac:dyDescent="0.25">
      <c r="A1798" t="str">
        <f>T("   210111")</f>
        <v xml:space="preserve">   210111</v>
      </c>
      <c r="B1798" t="str">
        <f>T("   EXTRAITS, ESSENCES ET CONCENTRES")</f>
        <v xml:space="preserve">   EXTRAITS, ESSENCES ET CONCENTRES</v>
      </c>
      <c r="C1798">
        <v>40000</v>
      </c>
      <c r="D1798">
        <v>3000000</v>
      </c>
    </row>
    <row r="1799" spans="1:4" x14ac:dyDescent="0.25">
      <c r="A1799" t="str">
        <f>T("   210410")</f>
        <v xml:space="preserve">   210410</v>
      </c>
      <c r="B1799" t="str">
        <f>T("   PREPARATIONS POUR SOUPES, POTAGES OU BOUILLONS; SOUPES, POTAGES OU BOUILLONS PREPARES")</f>
        <v xml:space="preserve">   PREPARATIONS POUR SOUPES, POTAGES OU BOUILLONS; SOUPES, POTAGES OU BOUILLONS PREPARES</v>
      </c>
      <c r="C1799">
        <v>49590</v>
      </c>
      <c r="D1799">
        <v>1500000</v>
      </c>
    </row>
    <row r="1800" spans="1:4" x14ac:dyDescent="0.25">
      <c r="A1800" t="str">
        <f>T("   210420")</f>
        <v xml:space="preserve">   210420</v>
      </c>
      <c r="B1800" t="str">
        <f>T("   PREPARATIONS ALIMENTAIRES COMPOSITES HOMOGENEISEES")</f>
        <v xml:space="preserve">   PREPARATIONS ALIMENTAIRES COMPOSITES HOMOGENEISEES</v>
      </c>
      <c r="C1800">
        <v>7200</v>
      </c>
      <c r="D1800">
        <v>3200000</v>
      </c>
    </row>
    <row r="1801" spans="1:4" x14ac:dyDescent="0.25">
      <c r="A1801" t="str">
        <f>T("   210690")</f>
        <v xml:space="preserve">   210690</v>
      </c>
      <c r="B1801" t="str">
        <f>T("   AUTRES")</f>
        <v xml:space="preserve">   AUTRES</v>
      </c>
      <c r="C1801">
        <v>194128</v>
      </c>
      <c r="D1801">
        <v>2835765</v>
      </c>
    </row>
    <row r="1802" spans="1:4" x14ac:dyDescent="0.25">
      <c r="A1802" t="str">
        <f>T("   220110")</f>
        <v xml:space="preserve">   220110</v>
      </c>
      <c r="B1802" t="str">
        <f>T("   EAUX MINERALES ET EAUX GAZEIFIEES")</f>
        <v xml:space="preserve">   EAUX MINERALES ET EAUX GAZEIFIEES</v>
      </c>
      <c r="C1802">
        <v>320745</v>
      </c>
      <c r="D1802">
        <v>61405879</v>
      </c>
    </row>
    <row r="1803" spans="1:4" x14ac:dyDescent="0.25">
      <c r="A1803" t="str">
        <f>T("   220210")</f>
        <v xml:space="preserve">   220210</v>
      </c>
      <c r="B1803" t="str">
        <f>T("   EAUX, Y COMPRIS LES EAUX MINERALES ET LES EAUX GAZEIFIEES, ADDITIONNEES DE SUCRE OU D")</f>
        <v xml:space="preserve">   EAUX, Y COMPRIS LES EAUX MINERALES ET LES EAUX GAZEIFIEES, ADDITIONNEES DE SUCRE OU D</v>
      </c>
      <c r="C1803">
        <v>44827</v>
      </c>
      <c r="D1803">
        <v>17518334</v>
      </c>
    </row>
    <row r="1804" spans="1:4" x14ac:dyDescent="0.25">
      <c r="A1804" t="str">
        <f>T("   220290")</f>
        <v xml:space="preserve">   220290</v>
      </c>
      <c r="B1804" t="str">
        <f>T("   AUTRES")</f>
        <v xml:space="preserve">   AUTRES</v>
      </c>
      <c r="C1804">
        <v>51920.14</v>
      </c>
      <c r="D1804">
        <v>40887627</v>
      </c>
    </row>
    <row r="1805" spans="1:4" x14ac:dyDescent="0.25">
      <c r="A1805" t="str">
        <f>T("   220429")</f>
        <v xml:space="preserve">   220429</v>
      </c>
      <c r="B1805" t="str">
        <f>T("   AUTRES")</f>
        <v xml:space="preserve">   AUTRES</v>
      </c>
      <c r="C1805">
        <v>2640</v>
      </c>
      <c r="D1805">
        <v>1500000</v>
      </c>
    </row>
    <row r="1806" spans="1:4" x14ac:dyDescent="0.25">
      <c r="A1806" t="str">
        <f>T("   220600")</f>
        <v xml:space="preserve">   220600</v>
      </c>
      <c r="B1806" t="str">
        <f>T("   AUTRES BOISSONS FERMENTEES (CIDRE, POIRE, HYDROMEL, PAR EXEMPLE); MELANGES DE BOISSONS")</f>
        <v xml:space="preserve">   AUTRES BOISSONS FERMENTEES (CIDRE, POIRE, HYDROMEL, PAR EXEMPLE); MELANGES DE BOISSONS</v>
      </c>
      <c r="C1806">
        <v>11040</v>
      </c>
      <c r="D1806">
        <v>150000</v>
      </c>
    </row>
    <row r="1807" spans="1:4" x14ac:dyDescent="0.25">
      <c r="A1807" t="str">
        <f>T("   220710")</f>
        <v xml:space="preserve">   220710</v>
      </c>
      <c r="B1807" t="str">
        <f>T("   ALCOOL ETHYLIQUE NON DENATURE D'UN TITRE ALCOOMETRIQUE +VOLUMIQUE DE 80 % VOL OU PLUS")</f>
        <v xml:space="preserve">   ALCOOL ETHYLIQUE NON DENATURE D'UN TITRE ALCOOMETRIQUE +VOLUMIQUE DE 80 % VOL OU PLUS</v>
      </c>
      <c r="C1807">
        <v>20625</v>
      </c>
      <c r="D1807">
        <v>15000000</v>
      </c>
    </row>
    <row r="1808" spans="1:4" x14ac:dyDescent="0.25">
      <c r="A1808" t="str">
        <f>T("   220890")</f>
        <v xml:space="preserve">   220890</v>
      </c>
      <c r="B1808" t="str">
        <f>T("   AUTRES")</f>
        <v xml:space="preserve">   AUTRES</v>
      </c>
      <c r="C1808">
        <v>17225</v>
      </c>
      <c r="D1808">
        <v>1450000</v>
      </c>
    </row>
    <row r="1809" spans="1:4" x14ac:dyDescent="0.25">
      <c r="A1809" t="str">
        <f>T("   230210")</f>
        <v xml:space="preserve">   230210</v>
      </c>
      <c r="B1809" t="str">
        <f>T("   DE MAIS")</f>
        <v xml:space="preserve">   DE MAIS</v>
      </c>
      <c r="C1809">
        <v>205100</v>
      </c>
      <c r="D1809">
        <v>18069000</v>
      </c>
    </row>
    <row r="1810" spans="1:4" x14ac:dyDescent="0.25">
      <c r="A1810" t="str">
        <f>T("   230230")</f>
        <v xml:space="preserve">   230230</v>
      </c>
      <c r="B1810" t="str">
        <f>T("   DE FROMENT")</f>
        <v xml:space="preserve">   DE FROMENT</v>
      </c>
      <c r="C1810">
        <v>545590</v>
      </c>
      <c r="D1810">
        <v>81635556</v>
      </c>
    </row>
    <row r="1811" spans="1:4" x14ac:dyDescent="0.25">
      <c r="A1811" t="str">
        <f>T("   230400")</f>
        <v xml:space="preserve">   230400</v>
      </c>
      <c r="B1811" t="str">
        <f>T("   TOURTEAUX ET AUTRES RESIDUS SOLIDES, MEME BROYES OU AGGLOMERES SOUS FORME DE PELLETS, D")</f>
        <v xml:space="preserve">   TOURTEAUX ET AUTRES RESIDUS SOLIDES, MEME BROYES OU AGGLOMERES SOUS FORME DE PELLETS, D</v>
      </c>
      <c r="C1811">
        <v>4411980</v>
      </c>
      <c r="D1811">
        <v>1403568900</v>
      </c>
    </row>
    <row r="1812" spans="1:4" x14ac:dyDescent="0.25">
      <c r="A1812" t="str">
        <f>T("   230610")</f>
        <v xml:space="preserve">   230610</v>
      </c>
      <c r="B1812" t="str">
        <f>T("   DE GRAINES DE COTON")</f>
        <v xml:space="preserve">   DE GRAINES DE COTON</v>
      </c>
      <c r="C1812">
        <v>23489254</v>
      </c>
      <c r="D1812">
        <v>2643351592</v>
      </c>
    </row>
    <row r="1813" spans="1:4" x14ac:dyDescent="0.25">
      <c r="A1813" t="str">
        <f>T("   230660")</f>
        <v xml:space="preserve">   230660</v>
      </c>
      <c r="B1813" t="str">
        <f>T("   DE NOIX OU D'AMANDES DE PALMISTE")</f>
        <v xml:space="preserve">   DE NOIX OU D'AMANDES DE PALMISTE</v>
      </c>
      <c r="C1813">
        <v>16980</v>
      </c>
      <c r="D1813">
        <v>3412980</v>
      </c>
    </row>
    <row r="1814" spans="1:4" x14ac:dyDescent="0.25">
      <c r="A1814" t="str">
        <f>T("   230690")</f>
        <v xml:space="preserve">   230690</v>
      </c>
      <c r="B1814" t="str">
        <f>T("   AUTRES")</f>
        <v xml:space="preserve">   AUTRES</v>
      </c>
      <c r="C1814">
        <v>3002220.8</v>
      </c>
      <c r="D1814">
        <v>128765451</v>
      </c>
    </row>
    <row r="1815" spans="1:4" x14ac:dyDescent="0.25">
      <c r="A1815" t="str">
        <f>T("   240220")</f>
        <v xml:space="preserve">   240220</v>
      </c>
      <c r="B1815" t="str">
        <f>T("   Cigarettes contenant du tabac")</f>
        <v xml:space="preserve">   Cigarettes contenant du tabac</v>
      </c>
      <c r="C1815">
        <v>12000</v>
      </c>
      <c r="D1815">
        <v>156000000</v>
      </c>
    </row>
    <row r="1816" spans="1:4" x14ac:dyDescent="0.25">
      <c r="A1816" t="str">
        <f>T("   240399")</f>
        <v xml:space="preserve">   240399</v>
      </c>
      <c r="B1816" t="str">
        <f>T("   AUTRES")</f>
        <v xml:space="preserve">   AUTRES</v>
      </c>
      <c r="C1816">
        <v>16125</v>
      </c>
      <c r="D1816">
        <v>37466674</v>
      </c>
    </row>
    <row r="1817" spans="1:4" x14ac:dyDescent="0.25">
      <c r="A1817" t="str">
        <f>T("   250590")</f>
        <v xml:space="preserve">   250590</v>
      </c>
      <c r="B1817" t="str">
        <f>T("   AUTRES SABLES")</f>
        <v xml:space="preserve">   AUTRES SABLES</v>
      </c>
      <c r="C1817">
        <v>239</v>
      </c>
      <c r="D1817">
        <v>246000</v>
      </c>
    </row>
    <row r="1818" spans="1:4" x14ac:dyDescent="0.25">
      <c r="A1818" t="str">
        <f>T("   250620")</f>
        <v xml:space="preserve">   250620</v>
      </c>
      <c r="B1818" t="str">
        <f>T("   QUARTZITES")</f>
        <v xml:space="preserve">   QUARTZITES</v>
      </c>
      <c r="C1818">
        <v>3700</v>
      </c>
      <c r="D1818">
        <v>41250</v>
      </c>
    </row>
    <row r="1819" spans="1:4" x14ac:dyDescent="0.25">
      <c r="A1819" t="str">
        <f>T("   250810")</f>
        <v xml:space="preserve">   250810</v>
      </c>
      <c r="B1819" t="str">
        <f>T("   BENTONITE")</f>
        <v xml:space="preserve">   BENTONITE</v>
      </c>
      <c r="C1819">
        <v>82000</v>
      </c>
      <c r="D1819">
        <v>1203316546</v>
      </c>
    </row>
    <row r="1820" spans="1:4" x14ac:dyDescent="0.25">
      <c r="A1820" t="str">
        <f>T("   251110")</f>
        <v xml:space="preserve">   251110</v>
      </c>
      <c r="B1820" t="str">
        <f>T("   SULFATE DE BARYUM NATUREL (BARYTINE)")</f>
        <v xml:space="preserve">   SULFATE DE BARYUM NATUREL (BARYTINE)</v>
      </c>
      <c r="C1820">
        <v>989616</v>
      </c>
      <c r="D1820">
        <v>507347822</v>
      </c>
    </row>
    <row r="1821" spans="1:4" x14ac:dyDescent="0.25">
      <c r="A1821" t="str">
        <f>T("   251520")</f>
        <v xml:space="preserve">   251520</v>
      </c>
      <c r="B1821" t="str">
        <f>T("   ECAUSSINES ET AUTRES PIERRES CALCAIRES DE TAILLE OU DE CONSTRUCTION; ALBATRE")</f>
        <v xml:space="preserve">   ECAUSSINES ET AUTRES PIERRES CALCAIRES DE TAILLE OU DE CONSTRUCTION; ALBATRE</v>
      </c>
      <c r="C1821">
        <v>42385000</v>
      </c>
      <c r="D1821">
        <v>434930790</v>
      </c>
    </row>
    <row r="1822" spans="1:4" x14ac:dyDescent="0.25">
      <c r="A1822" t="str">
        <f>T("   251690")</f>
        <v xml:space="preserve">   251690</v>
      </c>
      <c r="B1822" t="str">
        <f>T("   AUTRES PIERRES DE TAILLE OU DE CONSTRUCTION")</f>
        <v xml:space="preserve">   AUTRES PIERRES DE TAILLE OU DE CONSTRUCTION</v>
      </c>
      <c r="C1822">
        <v>10169</v>
      </c>
      <c r="D1822">
        <v>20346196</v>
      </c>
    </row>
    <row r="1823" spans="1:4" x14ac:dyDescent="0.25">
      <c r="A1823" t="str">
        <f>T("   252020")</f>
        <v xml:space="preserve">   252020</v>
      </c>
      <c r="B1823" t="str">
        <f>T("   PLATRES")</f>
        <v xml:space="preserve">   PLATRES</v>
      </c>
      <c r="C1823">
        <v>113000</v>
      </c>
      <c r="D1823">
        <v>13560000</v>
      </c>
    </row>
    <row r="1824" spans="1:4" x14ac:dyDescent="0.25">
      <c r="A1824" t="str">
        <f>T("   252310")</f>
        <v xml:space="preserve">   252310</v>
      </c>
      <c r="B1824" t="str">
        <f>T("   CIMENTS NON PULVERISES DITS «CLINKERS»")</f>
        <v xml:space="preserve">   CIMENTS NON PULVERISES DITS «CLINKERS»</v>
      </c>
      <c r="C1824">
        <v>123000000</v>
      </c>
      <c r="D1824">
        <v>8856000000</v>
      </c>
    </row>
    <row r="1825" spans="1:4" x14ac:dyDescent="0.25">
      <c r="A1825" t="str">
        <f>T("   252329")</f>
        <v xml:space="preserve">   252329</v>
      </c>
      <c r="B1825" t="str">
        <f>T("   AUTRES")</f>
        <v xml:space="preserve">   AUTRES</v>
      </c>
      <c r="C1825">
        <v>101947000</v>
      </c>
      <c r="D1825">
        <v>6387261000</v>
      </c>
    </row>
    <row r="1826" spans="1:4" x14ac:dyDescent="0.25">
      <c r="A1826" t="str">
        <f>T("   252390")</f>
        <v xml:space="preserve">   252390</v>
      </c>
      <c r="B1826" t="str">
        <f>T("   AUTRES CIMENTS HYDRAULIQUES")</f>
        <v xml:space="preserve">   AUTRES CIMENTS HYDRAULIQUES</v>
      </c>
      <c r="C1826">
        <v>9000</v>
      </c>
      <c r="D1826">
        <v>11643208</v>
      </c>
    </row>
    <row r="1827" spans="1:4" x14ac:dyDescent="0.25">
      <c r="A1827" t="str">
        <f>T("   252520")</f>
        <v xml:space="preserve">   252520</v>
      </c>
      <c r="B1827" t="str">
        <f>T("   Mica en poudre")</f>
        <v xml:space="preserve">   Mica en poudre</v>
      </c>
      <c r="C1827">
        <v>27245</v>
      </c>
      <c r="D1827">
        <v>49744291</v>
      </c>
    </row>
    <row r="1828" spans="1:4" x14ac:dyDescent="0.25">
      <c r="A1828" t="str">
        <f>T("   253090")</f>
        <v xml:space="preserve">   253090</v>
      </c>
      <c r="B1828" t="str">
        <f>T("   AUTRES")</f>
        <v xml:space="preserve">   AUTRES</v>
      </c>
      <c r="C1828">
        <v>310</v>
      </c>
      <c r="D1828">
        <v>149370</v>
      </c>
    </row>
    <row r="1829" spans="1:4" x14ac:dyDescent="0.25">
      <c r="A1829" t="str">
        <f>T("   271019")</f>
        <v xml:space="preserve">   271019</v>
      </c>
      <c r="B1829" t="str">
        <f>T("   AUTRES")</f>
        <v xml:space="preserve">   AUTRES</v>
      </c>
      <c r="C1829">
        <v>67191</v>
      </c>
      <c r="D1829">
        <v>191131509</v>
      </c>
    </row>
    <row r="1830" spans="1:4" x14ac:dyDescent="0.25">
      <c r="A1830" t="str">
        <f>T("   271500")</f>
        <v xml:space="preserve">   271500</v>
      </c>
      <c r="B1830" t="str">
        <f>T("   MELANGES BITUMINEUX A BASE D'ASPHALTE OU DE BITUME NATURELS, DE BITUME DE PETROLE, DE G")</f>
        <v xml:space="preserve">   MELANGES BITUMINEUX A BASE D'ASPHALTE OU DE BITUME NATURELS, DE BITUME DE PETROLE, DE G</v>
      </c>
      <c r="C1830">
        <v>495586.23</v>
      </c>
      <c r="D1830">
        <v>392597480</v>
      </c>
    </row>
    <row r="1831" spans="1:4" x14ac:dyDescent="0.25">
      <c r="A1831" t="str">
        <f>T("   280430")</f>
        <v xml:space="preserve">   280430</v>
      </c>
      <c r="B1831" t="str">
        <f>T("   Azote")</f>
        <v xml:space="preserve">   Azote</v>
      </c>
      <c r="C1831">
        <v>33000</v>
      </c>
      <c r="D1831">
        <v>14562312</v>
      </c>
    </row>
    <row r="1832" spans="1:4" x14ac:dyDescent="0.25">
      <c r="A1832" t="str">
        <f>T("   280519")</f>
        <v xml:space="preserve">   280519</v>
      </c>
      <c r="B1832" t="str">
        <f>T("   AUTRES")</f>
        <v xml:space="preserve">   AUTRES</v>
      </c>
      <c r="C1832">
        <v>834</v>
      </c>
      <c r="D1832">
        <v>350000</v>
      </c>
    </row>
    <row r="1833" spans="1:4" x14ac:dyDescent="0.25">
      <c r="A1833" t="str">
        <f>T("   281511")</f>
        <v xml:space="preserve">   281511</v>
      </c>
      <c r="B1833" t="str">
        <f>T("   SOLIDE")</f>
        <v xml:space="preserve">   SOLIDE</v>
      </c>
      <c r="C1833">
        <v>1480</v>
      </c>
      <c r="D1833">
        <v>11253942</v>
      </c>
    </row>
    <row r="1834" spans="1:4" x14ac:dyDescent="0.25">
      <c r="A1834" t="str">
        <f>T("   283322")</f>
        <v xml:space="preserve">   283322</v>
      </c>
      <c r="B1834" t="str">
        <f>T("   D'ALUMINIUM")</f>
        <v xml:space="preserve">   D'ALUMINIUM</v>
      </c>
      <c r="C1834">
        <v>2870</v>
      </c>
      <c r="D1834">
        <v>6129598</v>
      </c>
    </row>
    <row r="1835" spans="1:4" x14ac:dyDescent="0.25">
      <c r="A1835" t="str">
        <f>T("   283650")</f>
        <v xml:space="preserve">   283650</v>
      </c>
      <c r="B1835" t="str">
        <f>T("   Carbonate de calcium")</f>
        <v xml:space="preserve">   Carbonate de calcium</v>
      </c>
      <c r="C1835">
        <v>10000</v>
      </c>
      <c r="D1835">
        <v>2260000</v>
      </c>
    </row>
    <row r="1836" spans="1:4" x14ac:dyDescent="0.25">
      <c r="A1836" t="str">
        <f>T("   284440")</f>
        <v xml:space="preserve">   284440</v>
      </c>
      <c r="B1836" t="str">
        <f>T("   ELEMENTS ET ISOTOPES ET COMPOSES RADIOACTIFS AUTRES QUE CEUX DES N°S 2844.10, 2844.20")</f>
        <v xml:space="preserve">   ELEMENTS ET ISOTOPES ET COMPOSES RADIOACTIFS AUTRES QUE CEUX DES N°S 2844.10, 2844.20</v>
      </c>
      <c r="C1836">
        <v>5893</v>
      </c>
      <c r="D1836">
        <v>120460321</v>
      </c>
    </row>
    <row r="1837" spans="1:4" x14ac:dyDescent="0.25">
      <c r="A1837" t="str">
        <f>T("   290516")</f>
        <v xml:space="preserve">   290516</v>
      </c>
      <c r="B1837" t="str">
        <f>T("   OCTANOL (ALCOOL OCTYLIQUE) ET SES ISOMERES")</f>
        <v xml:space="preserve">   OCTANOL (ALCOOL OCTYLIQUE) ET SES ISOMERES</v>
      </c>
      <c r="C1837">
        <v>140</v>
      </c>
      <c r="D1837">
        <v>1630296</v>
      </c>
    </row>
    <row r="1838" spans="1:4" x14ac:dyDescent="0.25">
      <c r="A1838" t="str">
        <f>T("   290943")</f>
        <v xml:space="preserve">   290943</v>
      </c>
      <c r="B1838" t="str">
        <f>T("   ETHERS MONOBUTYLIQUES DE L'ETHYLENE GLYCOL OU DU DIETHYLENE GLYCOL")</f>
        <v xml:space="preserve">   ETHERS MONOBUTYLIQUES DE L'ETHYLENE GLYCOL OU DU DIETHYLENE GLYCOL</v>
      </c>
      <c r="C1838">
        <v>175950</v>
      </c>
      <c r="D1838">
        <v>521803472</v>
      </c>
    </row>
    <row r="1839" spans="1:4" x14ac:dyDescent="0.25">
      <c r="A1839" t="str">
        <f>T("   300210")</f>
        <v xml:space="preserve">   300210</v>
      </c>
      <c r="B1839" t="str">
        <f>T("   ANTISERUMS, AUTRES FRACTIONS DU SANG ET PRODUITS IMMUNOLOGIQUES, MEME MODIFIES OU OBT")</f>
        <v xml:space="preserve">   ANTISERUMS, AUTRES FRACTIONS DU SANG ET PRODUITS IMMUNOLOGIQUES, MEME MODIFIES OU OBT</v>
      </c>
      <c r="C1839">
        <v>14</v>
      </c>
      <c r="D1839">
        <v>3280</v>
      </c>
    </row>
    <row r="1840" spans="1:4" x14ac:dyDescent="0.25">
      <c r="A1840" t="str">
        <f>T("   300390")</f>
        <v xml:space="preserve">   300390</v>
      </c>
      <c r="B1840" t="str">
        <f t="shared" ref="B1840:B1845" si="3">T("   AUTRES")</f>
        <v xml:space="preserve">   AUTRES</v>
      </c>
      <c r="C1840">
        <v>36236</v>
      </c>
      <c r="D1840">
        <v>435896982</v>
      </c>
    </row>
    <row r="1841" spans="1:4" x14ac:dyDescent="0.25">
      <c r="A1841" t="str">
        <f>T("   300439")</f>
        <v xml:space="preserve">   300439</v>
      </c>
      <c r="B1841" t="str">
        <f t="shared" si="3"/>
        <v xml:space="preserve">   AUTRES</v>
      </c>
      <c r="C1841">
        <v>3500</v>
      </c>
      <c r="D1841">
        <v>1146220</v>
      </c>
    </row>
    <row r="1842" spans="1:4" x14ac:dyDescent="0.25">
      <c r="A1842" t="str">
        <f>T("   300490")</f>
        <v xml:space="preserve">   300490</v>
      </c>
      <c r="B1842" t="str">
        <f t="shared" si="3"/>
        <v xml:space="preserve">   AUTRES</v>
      </c>
      <c r="C1842">
        <v>16040</v>
      </c>
      <c r="D1842">
        <v>250954562</v>
      </c>
    </row>
    <row r="1843" spans="1:4" x14ac:dyDescent="0.25">
      <c r="A1843" t="str">
        <f>T("   300590")</f>
        <v xml:space="preserve">   300590</v>
      </c>
      <c r="B1843" t="str">
        <f t="shared" si="3"/>
        <v xml:space="preserve">   AUTRES</v>
      </c>
      <c r="C1843">
        <v>3837.5</v>
      </c>
      <c r="D1843">
        <v>14779000</v>
      </c>
    </row>
    <row r="1844" spans="1:4" x14ac:dyDescent="0.25">
      <c r="A1844" t="str">
        <f>T("   320290")</f>
        <v xml:space="preserve">   320290</v>
      </c>
      <c r="B1844" t="str">
        <f t="shared" si="3"/>
        <v xml:space="preserve">   AUTRES</v>
      </c>
      <c r="C1844">
        <v>10000</v>
      </c>
      <c r="D1844">
        <v>300000</v>
      </c>
    </row>
    <row r="1845" spans="1:4" x14ac:dyDescent="0.25">
      <c r="A1845" t="str">
        <f>T("   320490")</f>
        <v xml:space="preserve">   320490</v>
      </c>
      <c r="B1845" t="str">
        <f t="shared" si="3"/>
        <v xml:space="preserve">   AUTRES</v>
      </c>
      <c r="C1845">
        <v>50</v>
      </c>
      <c r="D1845">
        <v>304420</v>
      </c>
    </row>
    <row r="1846" spans="1:4" x14ac:dyDescent="0.25">
      <c r="A1846" t="str">
        <f>T("   320820")</f>
        <v xml:space="preserve">   320820</v>
      </c>
      <c r="B1846" t="str">
        <f>T("   A BASE DE POLYMERES ACRYLIQUES OU VINYLIQUES")</f>
        <v xml:space="preserve">   A BASE DE POLYMERES ACRYLIQUES OU VINYLIQUES</v>
      </c>
      <c r="C1846">
        <v>5510</v>
      </c>
      <c r="D1846">
        <v>2992920</v>
      </c>
    </row>
    <row r="1847" spans="1:4" x14ac:dyDescent="0.25">
      <c r="A1847" t="str">
        <f>T("   320890")</f>
        <v xml:space="preserve">   320890</v>
      </c>
      <c r="B1847" t="str">
        <f>T("   AUTRES")</f>
        <v xml:space="preserve">   AUTRES</v>
      </c>
      <c r="C1847">
        <v>447206.2</v>
      </c>
      <c r="D1847">
        <v>352694283</v>
      </c>
    </row>
    <row r="1848" spans="1:4" x14ac:dyDescent="0.25">
      <c r="A1848" t="str">
        <f>T("   320910")</f>
        <v xml:space="preserve">   320910</v>
      </c>
      <c r="B1848" t="str">
        <f>T("   A BASE DE POLYMERES ACRYLIQUES OU VINYLIQUES")</f>
        <v xml:space="preserve">   A BASE DE POLYMERES ACRYLIQUES OU VINYLIQUES</v>
      </c>
      <c r="C1848">
        <v>476101</v>
      </c>
      <c r="D1848">
        <v>285421574</v>
      </c>
    </row>
    <row r="1849" spans="1:4" x14ac:dyDescent="0.25">
      <c r="A1849" t="str">
        <f>T("   320990")</f>
        <v xml:space="preserve">   320990</v>
      </c>
      <c r="B1849" t="str">
        <f>T("   AUTRES")</f>
        <v xml:space="preserve">   AUTRES</v>
      </c>
      <c r="C1849">
        <v>298059</v>
      </c>
      <c r="D1849">
        <v>133865122</v>
      </c>
    </row>
    <row r="1850" spans="1:4" x14ac:dyDescent="0.25">
      <c r="A1850" t="str">
        <f>T("   321000")</f>
        <v xml:space="preserve">   321000</v>
      </c>
      <c r="B1850" t="str">
        <f>T("   AUTRES PEINTURES ET VERNIS; PIGMENTS A L'EAU PREPARES DES TYPES UTILISES POUR LE FINISS")</f>
        <v xml:space="preserve">   AUTRES PEINTURES ET VERNIS; PIGMENTS A L'EAU PREPARES DES TYPES UTILISES POUR LE FINISS</v>
      </c>
      <c r="C1850">
        <v>1250</v>
      </c>
      <c r="D1850">
        <v>18055620</v>
      </c>
    </row>
    <row r="1851" spans="1:4" x14ac:dyDescent="0.25">
      <c r="A1851" t="str">
        <f>T("   330129")</f>
        <v xml:space="preserve">   330129</v>
      </c>
      <c r="B1851" t="str">
        <f>T("   AUTRES")</f>
        <v xml:space="preserve">   AUTRES</v>
      </c>
      <c r="C1851">
        <v>500</v>
      </c>
      <c r="D1851">
        <v>200000</v>
      </c>
    </row>
    <row r="1852" spans="1:4" x14ac:dyDescent="0.25">
      <c r="A1852" t="str">
        <f>T("   330210")</f>
        <v xml:space="preserve">   330210</v>
      </c>
      <c r="B1852" t="str">
        <f>T("   DES TYPES UTILISES POUR LES INDUSTRIES ALIMENTAIRES OU DES BOISSONS")</f>
        <v xml:space="preserve">   DES TYPES UTILISES POUR LES INDUSTRIES ALIMENTAIRES OU DES BOISSONS</v>
      </c>
      <c r="C1852">
        <v>215</v>
      </c>
      <c r="D1852">
        <v>3354250</v>
      </c>
    </row>
    <row r="1853" spans="1:4" x14ac:dyDescent="0.25">
      <c r="A1853" t="str">
        <f>T("   330499")</f>
        <v xml:space="preserve">   330499</v>
      </c>
      <c r="B1853" t="str">
        <f>T("   AUTRES")</f>
        <v xml:space="preserve">   AUTRES</v>
      </c>
      <c r="C1853">
        <v>43305</v>
      </c>
      <c r="D1853">
        <v>16482000</v>
      </c>
    </row>
    <row r="1854" spans="1:4" x14ac:dyDescent="0.25">
      <c r="A1854" t="str">
        <f>T("   330790")</f>
        <v xml:space="preserve">   330790</v>
      </c>
      <c r="B1854" t="str">
        <f>T("   AUTRES")</f>
        <v xml:space="preserve">   AUTRES</v>
      </c>
      <c r="C1854">
        <v>838</v>
      </c>
      <c r="D1854">
        <v>2647313</v>
      </c>
    </row>
    <row r="1855" spans="1:4" x14ac:dyDescent="0.25">
      <c r="A1855" t="str">
        <f>T("   340111")</f>
        <v xml:space="preserve">   340111</v>
      </c>
      <c r="B1855" t="str">
        <f>T("   DE TOILETTE (Y COMPRIS CEUX A USAGES MEDICAUX)")</f>
        <v xml:space="preserve">   DE TOILETTE (Y COMPRIS CEUX A USAGES MEDICAUX)</v>
      </c>
      <c r="C1855">
        <v>26830.45</v>
      </c>
      <c r="D1855">
        <v>33232422</v>
      </c>
    </row>
    <row r="1856" spans="1:4" x14ac:dyDescent="0.25">
      <c r="A1856" t="str">
        <f>T("   340119")</f>
        <v xml:space="preserve">   340119</v>
      </c>
      <c r="B1856" t="str">
        <f>T("   AUTRES")</f>
        <v xml:space="preserve">   AUTRES</v>
      </c>
      <c r="C1856">
        <v>23800</v>
      </c>
      <c r="D1856">
        <v>17280000</v>
      </c>
    </row>
    <row r="1857" spans="1:4" x14ac:dyDescent="0.25">
      <c r="A1857" t="str">
        <f>T("   340220")</f>
        <v xml:space="preserve">   340220</v>
      </c>
      <c r="B1857" t="str">
        <f>T("   PREPARATIONS CONDITIONNEES POUR LA VENTE AU DETAIL")</f>
        <v xml:space="preserve">   PREPARATIONS CONDITIONNEES POUR LA VENTE AU DETAIL</v>
      </c>
      <c r="C1857">
        <v>5796</v>
      </c>
      <c r="D1857">
        <v>41248692</v>
      </c>
    </row>
    <row r="1858" spans="1:4" x14ac:dyDescent="0.25">
      <c r="A1858" t="str">
        <f>T("   340290")</f>
        <v xml:space="preserve">   340290</v>
      </c>
      <c r="B1858" t="str">
        <f>T("   AUTRES")</f>
        <v xml:space="preserve">   AUTRES</v>
      </c>
      <c r="C1858">
        <v>33113</v>
      </c>
      <c r="D1858">
        <v>256092573</v>
      </c>
    </row>
    <row r="1859" spans="1:4" x14ac:dyDescent="0.25">
      <c r="A1859" t="str">
        <f>T("   350510")</f>
        <v xml:space="preserve">   350510</v>
      </c>
      <c r="B1859" t="str">
        <f>T("   Dextrine et autres amidons et fecules modifies")</f>
        <v xml:space="preserve">   Dextrine et autres amidons et fecules modifies</v>
      </c>
      <c r="C1859">
        <v>134878.9</v>
      </c>
      <c r="D1859">
        <v>111351517</v>
      </c>
    </row>
    <row r="1860" spans="1:4" x14ac:dyDescent="0.25">
      <c r="A1860" t="str">
        <f>T("   350691")</f>
        <v xml:space="preserve">   350691</v>
      </c>
      <c r="B1860" t="str">
        <f>T("   ADHESIFS A BASE DE POLYMERES DES N°S 39.01 A 39.13 OU DE CAOUTCHOUC")</f>
        <v xml:space="preserve">   ADHESIFS A BASE DE POLYMERES DES N°S 39.01 A 39.13 OU DE CAOUTCHOUC</v>
      </c>
      <c r="C1860">
        <v>1485</v>
      </c>
      <c r="D1860">
        <v>12531544</v>
      </c>
    </row>
    <row r="1861" spans="1:4" x14ac:dyDescent="0.25">
      <c r="A1861" t="str">
        <f>T("   350790")</f>
        <v xml:space="preserve">   350790</v>
      </c>
      <c r="B1861" t="str">
        <f>T("   AUTRES")</f>
        <v xml:space="preserve">   AUTRES</v>
      </c>
      <c r="C1861">
        <v>230</v>
      </c>
      <c r="D1861">
        <v>3321950</v>
      </c>
    </row>
    <row r="1862" spans="1:4" x14ac:dyDescent="0.25">
      <c r="A1862" t="str">
        <f>T("   360200")</f>
        <v xml:space="preserve">   360200</v>
      </c>
      <c r="B1862" t="str">
        <f>T("   EXPLOSIFS PREPARES, AUTRES QUE LES POUDRES PROPULSIVES.")</f>
        <v xml:space="preserve">   EXPLOSIFS PREPARES, AUTRES QUE LES POUDRES PROPULSIVES.</v>
      </c>
      <c r="C1862">
        <v>2652</v>
      </c>
      <c r="D1862">
        <v>5782249</v>
      </c>
    </row>
    <row r="1863" spans="1:4" x14ac:dyDescent="0.25">
      <c r="A1863" t="str">
        <f>T("   360300")</f>
        <v xml:space="preserve">   360300</v>
      </c>
      <c r="B1863" t="str">
        <f>T("   MECHES DE SURETE; CORDEAUX DETONANTS; AMORCES ET CAPSULES FULMINANTES; ALLUMEURS; DETON")</f>
        <v xml:space="preserve">   MECHES DE SURETE; CORDEAUX DETONANTS; AMORCES ET CAPSULES FULMINANTES; ALLUMEURS; DETON</v>
      </c>
      <c r="C1863">
        <v>3519</v>
      </c>
      <c r="D1863">
        <v>39679323</v>
      </c>
    </row>
    <row r="1864" spans="1:4" x14ac:dyDescent="0.25">
      <c r="A1864" t="str">
        <f>T("   370390")</f>
        <v xml:space="preserve">   370390</v>
      </c>
      <c r="B1864" t="str">
        <f>T("   AUTRES")</f>
        <v xml:space="preserve">   AUTRES</v>
      </c>
      <c r="C1864">
        <v>19422</v>
      </c>
      <c r="D1864">
        <v>5825000</v>
      </c>
    </row>
    <row r="1865" spans="1:4" x14ac:dyDescent="0.25">
      <c r="A1865" t="str">
        <f>T("   380400")</f>
        <v xml:space="preserve">   380400</v>
      </c>
      <c r="B1865" t="str">
        <f>T("   LESSIVES RESIDUAIRES DE LA FABRICATION DES PATES DE CELLULOSE, MEME CONCENTREES, DESUCR")</f>
        <v xml:space="preserve">   LESSIVES RESIDUAIRES DE LA FABRICATION DES PATES DE CELLULOSE, MEME CONCENTREES, DESUCR</v>
      </c>
      <c r="C1865">
        <v>7035</v>
      </c>
      <c r="D1865">
        <v>25989673</v>
      </c>
    </row>
    <row r="1866" spans="1:4" x14ac:dyDescent="0.25">
      <c r="A1866" t="str">
        <f>T("   380850")</f>
        <v xml:space="preserve">   380850</v>
      </c>
      <c r="B1866" t="str">
        <f>T("   MARCHANDISES MENTIONNEES DANS LA NOTE 1 DE SOUSPOSITIONS DU PRESENT CHAPITRE")</f>
        <v xml:space="preserve">   MARCHANDISES MENTIONNEES DANS LA NOTE 1 DE SOUSPOSITIONS DU PRESENT CHAPITRE</v>
      </c>
      <c r="C1866">
        <v>30000</v>
      </c>
      <c r="D1866">
        <v>7000000</v>
      </c>
    </row>
    <row r="1867" spans="1:4" x14ac:dyDescent="0.25">
      <c r="A1867" t="str">
        <f>T("   380891")</f>
        <v xml:space="preserve">   380891</v>
      </c>
      <c r="B1867" t="str">
        <f>T("   INSECTICIDES")</f>
        <v xml:space="preserve">   INSECTICIDES</v>
      </c>
      <c r="C1867">
        <v>452311</v>
      </c>
      <c r="D1867">
        <v>1836688</v>
      </c>
    </row>
    <row r="1868" spans="1:4" x14ac:dyDescent="0.25">
      <c r="A1868" t="str">
        <f>T("   381600")</f>
        <v xml:space="preserve">   381600</v>
      </c>
      <c r="B1868" t="str">
        <f>T("   CIMENTS, MORTIERS, BETONS ET COMPOSITIONS SIMILAIRES REFRACTAIRES, AUTRES QUE LES PRODU")</f>
        <v xml:space="preserve">   CIMENTS, MORTIERS, BETONS ET COMPOSITIONS SIMILAIRES REFRACTAIRES, AUTRES QUE LES PRODU</v>
      </c>
      <c r="C1868">
        <v>1200000</v>
      </c>
      <c r="D1868">
        <v>87169880</v>
      </c>
    </row>
    <row r="1869" spans="1:4" x14ac:dyDescent="0.25">
      <c r="A1869" t="str">
        <f>T("   382440")</f>
        <v xml:space="preserve">   382440</v>
      </c>
      <c r="B1869" t="str">
        <f>T("   ADDITIFS PREPARES POUR CIMENTS, MORTIERS OU BETONS")</f>
        <v xml:space="preserve">   ADDITIFS PREPARES POUR CIMENTS, MORTIERS OU BETONS</v>
      </c>
      <c r="C1869">
        <v>162122</v>
      </c>
      <c r="D1869">
        <v>288753274</v>
      </c>
    </row>
    <row r="1870" spans="1:4" x14ac:dyDescent="0.25">
      <c r="A1870" t="str">
        <f>T("   382490")</f>
        <v xml:space="preserve">   382490</v>
      </c>
      <c r="B1870" t="str">
        <f>T("   AUTRES")</f>
        <v xml:space="preserve">   AUTRES</v>
      </c>
      <c r="C1870">
        <v>72558</v>
      </c>
      <c r="D1870">
        <v>278152761</v>
      </c>
    </row>
    <row r="1871" spans="1:4" x14ac:dyDescent="0.25">
      <c r="A1871" t="str">
        <f>T("   390710")</f>
        <v xml:space="preserve">   390710</v>
      </c>
      <c r="B1871" t="str">
        <f>T("   POLYACETALS")</f>
        <v xml:space="preserve">   POLYACETALS</v>
      </c>
      <c r="C1871">
        <v>152</v>
      </c>
      <c r="D1871">
        <v>14002406</v>
      </c>
    </row>
    <row r="1872" spans="1:4" x14ac:dyDescent="0.25">
      <c r="A1872" t="str">
        <f>T("   390720")</f>
        <v xml:space="preserve">   390720</v>
      </c>
      <c r="B1872" t="str">
        <f>T("   AUTRES POLYETHERS")</f>
        <v xml:space="preserve">   AUTRES POLYETHERS</v>
      </c>
      <c r="C1872">
        <v>8167</v>
      </c>
      <c r="D1872">
        <v>30171502</v>
      </c>
    </row>
    <row r="1873" spans="1:4" x14ac:dyDescent="0.25">
      <c r="A1873" t="str">
        <f>T("   391590")</f>
        <v xml:space="preserve">   391590</v>
      </c>
      <c r="B1873" t="str">
        <f>T("   D'AUTRES MATIERES PLASTIQUES")</f>
        <v xml:space="preserve">   D'AUTRES MATIERES PLASTIQUES</v>
      </c>
      <c r="C1873">
        <v>540500</v>
      </c>
      <c r="D1873">
        <v>13262500</v>
      </c>
    </row>
    <row r="1874" spans="1:4" x14ac:dyDescent="0.25">
      <c r="A1874" t="str">
        <f>T("   391721")</f>
        <v xml:space="preserve">   391721</v>
      </c>
      <c r="B1874" t="str">
        <f>T("   EN POLYMERES DE L'ETHYLENE")</f>
        <v xml:space="preserve">   EN POLYMERES DE L'ETHYLENE</v>
      </c>
      <c r="C1874">
        <v>97829</v>
      </c>
      <c r="D1874">
        <v>179760801</v>
      </c>
    </row>
    <row r="1875" spans="1:4" x14ac:dyDescent="0.25">
      <c r="A1875" t="str">
        <f>T("   391723")</f>
        <v xml:space="preserve">   391723</v>
      </c>
      <c r="B1875" t="str">
        <f>T("   EN POLYMERES DU CHLORURE DE VINYLE")</f>
        <v xml:space="preserve">   EN POLYMERES DU CHLORURE DE VINYLE</v>
      </c>
      <c r="C1875">
        <v>324176</v>
      </c>
      <c r="D1875">
        <v>487117040</v>
      </c>
    </row>
    <row r="1876" spans="1:4" x14ac:dyDescent="0.25">
      <c r="A1876" t="str">
        <f>T("   391729")</f>
        <v xml:space="preserve">   391729</v>
      </c>
      <c r="B1876" t="str">
        <f>T("   EN AUTRES MATIERES PLASTIQUES")</f>
        <v xml:space="preserve">   EN AUTRES MATIERES PLASTIQUES</v>
      </c>
      <c r="C1876">
        <v>125970</v>
      </c>
      <c r="D1876">
        <v>269078386</v>
      </c>
    </row>
    <row r="1877" spans="1:4" x14ac:dyDescent="0.25">
      <c r="A1877" t="str">
        <f>T("   391732")</f>
        <v xml:space="preserve">   391732</v>
      </c>
      <c r="B1877" t="str">
        <f>T("   AUTRES, NON RENFORCES D'AUTRES MATIERES NI AUTREMENT ASSOCIES A D'AUTRES MATIERES, S")</f>
        <v xml:space="preserve">   AUTRES, NON RENFORCES D'AUTRES MATIERES NI AUTREMENT ASSOCIES A D'AUTRES MATIERES, S</v>
      </c>
      <c r="C1877">
        <v>18996</v>
      </c>
      <c r="D1877">
        <v>23609345</v>
      </c>
    </row>
    <row r="1878" spans="1:4" x14ac:dyDescent="0.25">
      <c r="A1878" t="str">
        <f>T("   391733")</f>
        <v xml:space="preserve">   391733</v>
      </c>
      <c r="B1878" t="str">
        <f>T("   AUTRES, NON RENFORCES D'AUTRES MATIERES NI AUTREMENT ASSOCIES A D'AUTRES MATIERES, A")</f>
        <v xml:space="preserve">   AUTRES, NON RENFORCES D'AUTRES MATIERES NI AUTREMENT ASSOCIES A D'AUTRES MATIERES, A</v>
      </c>
      <c r="C1878">
        <v>965</v>
      </c>
      <c r="D1878">
        <v>3010900</v>
      </c>
    </row>
    <row r="1879" spans="1:4" x14ac:dyDescent="0.25">
      <c r="A1879" t="str">
        <f>T("   391739")</f>
        <v xml:space="preserve">   391739</v>
      </c>
      <c r="B1879" t="str">
        <f>T("   AUTRES")</f>
        <v xml:space="preserve">   AUTRES</v>
      </c>
      <c r="C1879">
        <v>81466</v>
      </c>
      <c r="D1879">
        <v>88703900</v>
      </c>
    </row>
    <row r="1880" spans="1:4" x14ac:dyDescent="0.25">
      <c r="A1880" t="str">
        <f>T("   391740")</f>
        <v xml:space="preserve">   391740</v>
      </c>
      <c r="B1880" t="str">
        <f>T("   ACCESSOIRES")</f>
        <v xml:space="preserve">   ACCESSOIRES</v>
      </c>
      <c r="C1880">
        <v>8132</v>
      </c>
      <c r="D1880">
        <v>33737196</v>
      </c>
    </row>
    <row r="1881" spans="1:4" x14ac:dyDescent="0.25">
      <c r="A1881" t="str">
        <f>T("   391910")</f>
        <v xml:space="preserve">   391910</v>
      </c>
      <c r="B1881" t="str">
        <f>T("   EN ROULEAUX D'UNE LARGEUR N'EXCEDANT PAS 20 CM")</f>
        <v xml:space="preserve">   EN ROULEAUX D'UNE LARGEUR N'EXCEDANT PAS 20 CM</v>
      </c>
      <c r="C1881">
        <v>6</v>
      </c>
      <c r="D1881">
        <v>55266</v>
      </c>
    </row>
    <row r="1882" spans="1:4" x14ac:dyDescent="0.25">
      <c r="A1882" t="str">
        <f>T("   392020")</f>
        <v xml:space="preserve">   392020</v>
      </c>
      <c r="B1882" t="str">
        <f>T("   EN POLYMERES DU PROPYLENE")</f>
        <v xml:space="preserve">   EN POLYMERES DU PROPYLENE</v>
      </c>
      <c r="C1882">
        <v>7485</v>
      </c>
      <c r="D1882">
        <v>14108548</v>
      </c>
    </row>
    <row r="1883" spans="1:4" x14ac:dyDescent="0.25">
      <c r="A1883" t="str">
        <f>T("   392321")</f>
        <v xml:space="preserve">   392321</v>
      </c>
      <c r="B1883" t="str">
        <f>T("   EN POLYMERES DE L'ETHYLENE")</f>
        <v xml:space="preserve">   EN POLYMERES DE L'ETHYLENE</v>
      </c>
      <c r="C1883">
        <v>300</v>
      </c>
      <c r="D1883">
        <v>5005850</v>
      </c>
    </row>
    <row r="1884" spans="1:4" x14ac:dyDescent="0.25">
      <c r="A1884" t="str">
        <f>T("   392329")</f>
        <v xml:space="preserve">   392329</v>
      </c>
      <c r="B1884" t="str">
        <f>T("   EN AUTRES MATIERES PLASTIQUES")</f>
        <v xml:space="preserve">   EN AUTRES MATIERES PLASTIQUES</v>
      </c>
      <c r="C1884">
        <v>1135</v>
      </c>
      <c r="D1884">
        <v>5431977</v>
      </c>
    </row>
    <row r="1885" spans="1:4" x14ac:dyDescent="0.25">
      <c r="A1885" t="str">
        <f>T("   392330")</f>
        <v xml:space="preserve">   392330</v>
      </c>
      <c r="B1885" t="str">
        <f>T("   BONBONNES, BOUTEILLES, FLACONS ET ARTICLES SIMILAIRES")</f>
        <v xml:space="preserve">   BONBONNES, BOUTEILLES, FLACONS ET ARTICLES SIMILAIRES</v>
      </c>
      <c r="C1885">
        <v>19108</v>
      </c>
      <c r="D1885">
        <v>13106400</v>
      </c>
    </row>
    <row r="1886" spans="1:4" x14ac:dyDescent="0.25">
      <c r="A1886" t="str">
        <f>T("   392390")</f>
        <v xml:space="preserve">   392390</v>
      </c>
      <c r="B1886" t="str">
        <f>T("   AUTRES")</f>
        <v xml:space="preserve">   AUTRES</v>
      </c>
      <c r="C1886">
        <v>37413</v>
      </c>
      <c r="D1886">
        <v>80553977</v>
      </c>
    </row>
    <row r="1887" spans="1:4" x14ac:dyDescent="0.25">
      <c r="A1887" t="str">
        <f>T("   392410")</f>
        <v xml:space="preserve">   392410</v>
      </c>
      <c r="B1887" t="str">
        <f>T("   VAISSELLE ET AUTRES ARTICLES POUR LE SERVICE DE LA TABLE OU DE LA CUISINE")</f>
        <v xml:space="preserve">   VAISSELLE ET AUTRES ARTICLES POUR LE SERVICE DE LA TABLE OU DE LA CUISINE</v>
      </c>
      <c r="C1887">
        <v>10</v>
      </c>
      <c r="D1887">
        <v>36944</v>
      </c>
    </row>
    <row r="1888" spans="1:4" x14ac:dyDescent="0.25">
      <c r="A1888" t="str">
        <f>T("   392490")</f>
        <v xml:space="preserve">   392490</v>
      </c>
      <c r="B1888" t="str">
        <f>T("   AUTRES")</f>
        <v xml:space="preserve">   AUTRES</v>
      </c>
      <c r="C1888">
        <v>12842</v>
      </c>
      <c r="D1888">
        <v>9553675</v>
      </c>
    </row>
    <row r="1889" spans="1:4" x14ac:dyDescent="0.25">
      <c r="A1889" t="str">
        <f>T("   392510")</f>
        <v xml:space="preserve">   392510</v>
      </c>
      <c r="B1889" t="str">
        <f>T("   RESERVOIRS, FOUDRES, CUVES ET RECIPIENTS ANALOGUES, D'UNE CONTENANCE EXCEDANT 300 L")</f>
        <v xml:space="preserve">   RESERVOIRS, FOUDRES, CUVES ET RECIPIENTS ANALOGUES, D'UNE CONTENANCE EXCEDANT 300 L</v>
      </c>
      <c r="C1889">
        <v>5000</v>
      </c>
      <c r="D1889">
        <v>1890120</v>
      </c>
    </row>
    <row r="1890" spans="1:4" x14ac:dyDescent="0.25">
      <c r="A1890" t="str">
        <f>T("   392590")</f>
        <v xml:space="preserve">   392590</v>
      </c>
      <c r="B1890" t="str">
        <f>T("   AUTRES")</f>
        <v xml:space="preserve">   AUTRES</v>
      </c>
      <c r="C1890">
        <v>18000</v>
      </c>
      <c r="D1890">
        <v>5000000</v>
      </c>
    </row>
    <row r="1891" spans="1:4" x14ac:dyDescent="0.25">
      <c r="A1891" t="str">
        <f>T("   392610")</f>
        <v xml:space="preserve">   392610</v>
      </c>
      <c r="B1891" t="str">
        <f>T("   ARTICLES DE BUREAU ET ARTICLES SCOLAIRES")</f>
        <v xml:space="preserve">   ARTICLES DE BUREAU ET ARTICLES SCOLAIRES</v>
      </c>
      <c r="C1891">
        <v>1520</v>
      </c>
      <c r="D1891">
        <v>100000</v>
      </c>
    </row>
    <row r="1892" spans="1:4" x14ac:dyDescent="0.25">
      <c r="A1892" t="str">
        <f>T("   392640")</f>
        <v xml:space="preserve">   392640</v>
      </c>
      <c r="B1892" t="str">
        <f>T("   STATUETTES ET AUTRES OBJETS D'ORNEMENTATION")</f>
        <v xml:space="preserve">   STATUETTES ET AUTRES OBJETS D'ORNEMENTATION</v>
      </c>
      <c r="C1892">
        <v>2564</v>
      </c>
      <c r="D1892">
        <v>947397</v>
      </c>
    </row>
    <row r="1893" spans="1:4" x14ac:dyDescent="0.25">
      <c r="A1893" t="str">
        <f>T("   392690")</f>
        <v xml:space="preserve">   392690</v>
      </c>
      <c r="B1893" t="str">
        <f>T("   AUTRES")</f>
        <v xml:space="preserve">   AUTRES</v>
      </c>
      <c r="C1893">
        <v>22973</v>
      </c>
      <c r="D1893">
        <v>55531239</v>
      </c>
    </row>
    <row r="1894" spans="1:4" x14ac:dyDescent="0.25">
      <c r="A1894" t="str">
        <f>T("   401162")</f>
        <v xml:space="preserve">   401162</v>
      </c>
      <c r="B1894" t="str">
        <f>T("   DES TYPES UTILISES POUR LES VEHICULES ET ENGINS DE GENIE CIVIL ET DE MANUTENTION IND")</f>
        <v xml:space="preserve">   DES TYPES UTILISES POUR LES VEHICULES ET ENGINS DE GENIE CIVIL ET DE MANUTENTION IND</v>
      </c>
      <c r="C1894">
        <v>8000</v>
      </c>
      <c r="D1894">
        <v>11380906</v>
      </c>
    </row>
    <row r="1895" spans="1:4" x14ac:dyDescent="0.25">
      <c r="A1895" t="str">
        <f>T("   401211")</f>
        <v xml:space="preserve">   401211</v>
      </c>
      <c r="B1895" t="str">
        <f>T("   DES TYPES UTILISES POUR LES VOITURES DE TOURISME (Y COMPRIS LES VOITURES DU TYPE «BR")</f>
        <v xml:space="preserve">   DES TYPES UTILISES POUR LES VOITURES DE TOURISME (Y COMPRIS LES VOITURES DU TYPE «BR</v>
      </c>
      <c r="C1895">
        <v>870</v>
      </c>
      <c r="D1895">
        <v>1830000</v>
      </c>
    </row>
    <row r="1896" spans="1:4" x14ac:dyDescent="0.25">
      <c r="A1896" t="str">
        <f>T("   401220")</f>
        <v xml:space="preserve">   401220</v>
      </c>
      <c r="B1896" t="str">
        <f>T("   PNEUMATIQUES USAGES")</f>
        <v xml:space="preserve">   PNEUMATIQUES USAGES</v>
      </c>
      <c r="C1896">
        <v>78550</v>
      </c>
      <c r="D1896">
        <v>16170633</v>
      </c>
    </row>
    <row r="1897" spans="1:4" x14ac:dyDescent="0.25">
      <c r="A1897" t="str">
        <f>T("   401390")</f>
        <v xml:space="preserve">   401390</v>
      </c>
      <c r="B1897" t="str">
        <f>T("   AUTRES")</f>
        <v xml:space="preserve">   AUTRES</v>
      </c>
      <c r="C1897">
        <v>12900</v>
      </c>
      <c r="D1897">
        <v>2100000</v>
      </c>
    </row>
    <row r="1898" spans="1:4" x14ac:dyDescent="0.25">
      <c r="A1898" t="str">
        <f>T("   401410")</f>
        <v xml:space="preserve">   401410</v>
      </c>
      <c r="B1898" t="str">
        <f>T("   PRESERVATIFS")</f>
        <v xml:space="preserve">   PRESERVATIFS</v>
      </c>
      <c r="C1898">
        <v>1020</v>
      </c>
      <c r="D1898">
        <v>910000</v>
      </c>
    </row>
    <row r="1899" spans="1:4" x14ac:dyDescent="0.25">
      <c r="A1899" t="str">
        <f>T("   401693")</f>
        <v xml:space="preserve">   401693</v>
      </c>
      <c r="B1899" t="str">
        <f>T("   JOINTS")</f>
        <v xml:space="preserve">   JOINTS</v>
      </c>
      <c r="C1899">
        <v>165</v>
      </c>
      <c r="D1899">
        <v>6072704</v>
      </c>
    </row>
    <row r="1900" spans="1:4" x14ac:dyDescent="0.25">
      <c r="A1900" t="str">
        <f>T("   401695")</f>
        <v xml:space="preserve">   401695</v>
      </c>
      <c r="B1900" t="str">
        <f>T("   AUTRES ARTICLES GONFLABLES")</f>
        <v xml:space="preserve">   AUTRES ARTICLES GONFLABLES</v>
      </c>
      <c r="C1900">
        <v>220</v>
      </c>
      <c r="D1900">
        <v>15112329</v>
      </c>
    </row>
    <row r="1901" spans="1:4" x14ac:dyDescent="0.25">
      <c r="A1901" t="str">
        <f>T("   401699")</f>
        <v xml:space="preserve">   401699</v>
      </c>
      <c r="B1901" t="str">
        <f>T("   AUTRES")</f>
        <v xml:space="preserve">   AUTRES</v>
      </c>
      <c r="C1901">
        <v>3001</v>
      </c>
      <c r="D1901">
        <v>99815</v>
      </c>
    </row>
    <row r="1902" spans="1:4" x14ac:dyDescent="0.25">
      <c r="A1902" t="str">
        <f>T("   410150")</f>
        <v xml:space="preserve">   410150</v>
      </c>
      <c r="B1902" t="str">
        <f>T("   CUIRS ET PEAUX BRUTS ENTIERS, D’UN POIDS UNITAIRE EXCEDANT 16 KG")</f>
        <v xml:space="preserve">   CUIRS ET PEAUX BRUTS ENTIERS, D’UN POIDS UNITAIRE EXCEDANT 16 KG</v>
      </c>
      <c r="C1902">
        <v>20000</v>
      </c>
      <c r="D1902">
        <v>3500000</v>
      </c>
    </row>
    <row r="1903" spans="1:4" x14ac:dyDescent="0.25">
      <c r="A1903" t="str">
        <f>T("   410510")</f>
        <v xml:space="preserve">   410510</v>
      </c>
      <c r="B1903" t="str">
        <f>T("   A L'ETAT HUMIDE (Y COMPRIS WETBLUE)")</f>
        <v xml:space="preserve">   A L'ETAT HUMIDE (Y COMPRIS WETBLUE)</v>
      </c>
      <c r="C1903">
        <v>105269</v>
      </c>
      <c r="D1903">
        <v>40327900</v>
      </c>
    </row>
    <row r="1904" spans="1:4" x14ac:dyDescent="0.25">
      <c r="A1904" t="str">
        <f>T("   420299")</f>
        <v xml:space="preserve">   420299</v>
      </c>
      <c r="B1904" t="str">
        <f t="shared" ref="B1904:B1910" si="4">T("   AUTRES")</f>
        <v xml:space="preserve">   AUTRES</v>
      </c>
      <c r="C1904">
        <v>183</v>
      </c>
      <c r="D1904">
        <v>5889350</v>
      </c>
    </row>
    <row r="1905" spans="1:4" x14ac:dyDescent="0.25">
      <c r="A1905" t="str">
        <f>T("   440290")</f>
        <v xml:space="preserve">   440290</v>
      </c>
      <c r="B1905" t="str">
        <f t="shared" si="4"/>
        <v xml:space="preserve">   AUTRES</v>
      </c>
      <c r="C1905">
        <v>98000</v>
      </c>
      <c r="D1905">
        <v>6300000</v>
      </c>
    </row>
    <row r="1906" spans="1:4" x14ac:dyDescent="0.25">
      <c r="A1906" t="str">
        <f>T("   440349")</f>
        <v xml:space="preserve">   440349</v>
      </c>
      <c r="B1906" t="str">
        <f t="shared" si="4"/>
        <v xml:space="preserve">   AUTRES</v>
      </c>
      <c r="C1906">
        <v>48000</v>
      </c>
      <c r="D1906">
        <v>3500000</v>
      </c>
    </row>
    <row r="1907" spans="1:4" x14ac:dyDescent="0.25">
      <c r="A1907" t="str">
        <f>T("   440399")</f>
        <v xml:space="preserve">   440399</v>
      </c>
      <c r="B1907" t="str">
        <f t="shared" si="4"/>
        <v xml:space="preserve">   AUTRES</v>
      </c>
      <c r="C1907">
        <v>21175000</v>
      </c>
      <c r="D1907">
        <v>1101150000</v>
      </c>
    </row>
    <row r="1908" spans="1:4" x14ac:dyDescent="0.25">
      <c r="A1908" t="str">
        <f>T("   440690")</f>
        <v xml:space="preserve">   440690</v>
      </c>
      <c r="B1908" t="str">
        <f t="shared" si="4"/>
        <v xml:space="preserve">   AUTRES</v>
      </c>
      <c r="C1908">
        <v>17654000</v>
      </c>
      <c r="D1908">
        <v>909082869</v>
      </c>
    </row>
    <row r="1909" spans="1:4" x14ac:dyDescent="0.25">
      <c r="A1909" t="str">
        <f>T("   440729")</f>
        <v xml:space="preserve">   440729</v>
      </c>
      <c r="B1909" t="str">
        <f t="shared" si="4"/>
        <v xml:space="preserve">   AUTRES</v>
      </c>
      <c r="C1909">
        <v>5639000</v>
      </c>
      <c r="D1909">
        <v>4042790171</v>
      </c>
    </row>
    <row r="1910" spans="1:4" x14ac:dyDescent="0.25">
      <c r="A1910" t="str">
        <f>T("   440799")</f>
        <v xml:space="preserve">   440799</v>
      </c>
      <c r="B1910" t="str">
        <f t="shared" si="4"/>
        <v xml:space="preserve">   AUTRES</v>
      </c>
      <c r="C1910">
        <v>56085</v>
      </c>
      <c r="D1910">
        <v>106617088</v>
      </c>
    </row>
    <row r="1911" spans="1:4" x14ac:dyDescent="0.25">
      <c r="A1911" t="str">
        <f>T("   440921")</f>
        <v xml:space="preserve">   440921</v>
      </c>
      <c r="B1911" t="str">
        <f>T("   EN BAMBOU")</f>
        <v xml:space="preserve">   EN BAMBOU</v>
      </c>
      <c r="C1911">
        <v>10000</v>
      </c>
      <c r="D1911">
        <v>500000</v>
      </c>
    </row>
    <row r="1912" spans="1:4" x14ac:dyDescent="0.25">
      <c r="A1912" t="str">
        <f>T("   441239")</f>
        <v xml:space="preserve">   441239</v>
      </c>
      <c r="B1912" t="str">
        <f>T("   AUTRES")</f>
        <v xml:space="preserve">   AUTRES</v>
      </c>
      <c r="C1912">
        <v>30000</v>
      </c>
      <c r="D1912">
        <v>4500000</v>
      </c>
    </row>
    <row r="1913" spans="1:4" x14ac:dyDescent="0.25">
      <c r="A1913" t="str">
        <f>T("   441820")</f>
        <v xml:space="preserve">   441820</v>
      </c>
      <c r="B1913" t="str">
        <f>T("   PORTES ET LEURS CADRES, CHAMBRANLES ET SEUILS")</f>
        <v xml:space="preserve">   PORTES ET LEURS CADRES, CHAMBRANLES ET SEUILS</v>
      </c>
      <c r="C1913">
        <v>500</v>
      </c>
      <c r="D1913">
        <v>245000</v>
      </c>
    </row>
    <row r="1914" spans="1:4" x14ac:dyDescent="0.25">
      <c r="A1914" t="str">
        <f>T("   441840")</f>
        <v xml:space="preserve">   441840</v>
      </c>
      <c r="B1914" t="str">
        <f>T("   COFFRAGES POUR LE BETONNAGE")</f>
        <v xml:space="preserve">   COFFRAGES POUR LE BETONNAGE</v>
      </c>
      <c r="C1914">
        <v>78</v>
      </c>
      <c r="D1914">
        <v>195000</v>
      </c>
    </row>
    <row r="1915" spans="1:4" x14ac:dyDescent="0.25">
      <c r="A1915" t="str">
        <f>T("   441890")</f>
        <v xml:space="preserve">   441890</v>
      </c>
      <c r="B1915" t="str">
        <f>T("   AUTRES")</f>
        <v xml:space="preserve">   AUTRES</v>
      </c>
      <c r="C1915">
        <v>16300</v>
      </c>
      <c r="D1915">
        <v>2720000</v>
      </c>
    </row>
    <row r="1916" spans="1:4" x14ac:dyDescent="0.25">
      <c r="A1916" t="str">
        <f>T("   442090")</f>
        <v xml:space="preserve">   442090</v>
      </c>
      <c r="B1916" t="str">
        <f>T("   AUTRES")</f>
        <v xml:space="preserve">   AUTRES</v>
      </c>
      <c r="C1916">
        <v>5000</v>
      </c>
      <c r="D1916">
        <v>2000000</v>
      </c>
    </row>
    <row r="1917" spans="1:4" x14ac:dyDescent="0.25">
      <c r="A1917" t="str">
        <f>T("   442190")</f>
        <v xml:space="preserve">   442190</v>
      </c>
      <c r="B1917" t="str">
        <f>T("   AUTRES")</f>
        <v xml:space="preserve">   AUTRES</v>
      </c>
      <c r="C1917">
        <v>49708</v>
      </c>
      <c r="D1917">
        <v>1103000</v>
      </c>
    </row>
    <row r="1918" spans="1:4" x14ac:dyDescent="0.25">
      <c r="A1918" t="str">
        <f>T("   460290")</f>
        <v xml:space="preserve">   460290</v>
      </c>
      <c r="B1918" t="str">
        <f>T("   AUTRES")</f>
        <v xml:space="preserve">   AUTRES</v>
      </c>
      <c r="C1918">
        <v>3000</v>
      </c>
      <c r="D1918">
        <v>16583590</v>
      </c>
    </row>
    <row r="1919" spans="1:4" x14ac:dyDescent="0.25">
      <c r="A1919" t="str">
        <f>T("   470790")</f>
        <v xml:space="preserve">   470790</v>
      </c>
      <c r="B1919" t="str">
        <f>T("   AUTRES, Y COMPRIS LES DECHETS ET REBUTS NON TRIES")</f>
        <v xml:space="preserve">   AUTRES, Y COMPRIS LES DECHETS ET REBUTS NON TRIES</v>
      </c>
      <c r="C1919">
        <v>85000</v>
      </c>
      <c r="D1919">
        <v>2650000</v>
      </c>
    </row>
    <row r="1920" spans="1:4" x14ac:dyDescent="0.25">
      <c r="A1920" t="str">
        <f>T("   480261")</f>
        <v xml:space="preserve">   480261</v>
      </c>
      <c r="B1920" t="str">
        <f>T("   EN ROULEAUX")</f>
        <v xml:space="preserve">   EN ROULEAUX</v>
      </c>
      <c r="C1920">
        <v>1</v>
      </c>
      <c r="D1920">
        <v>19701</v>
      </c>
    </row>
    <row r="1921" spans="1:4" x14ac:dyDescent="0.25">
      <c r="A1921" t="str">
        <f>T("   481910")</f>
        <v xml:space="preserve">   481910</v>
      </c>
      <c r="B1921" t="str">
        <f>T("   BOITES ET CAISSES EN PAPIER OU CARTON ONDULE")</f>
        <v xml:space="preserve">   BOITES ET CAISSES EN PAPIER OU CARTON ONDULE</v>
      </c>
      <c r="C1921">
        <v>69280</v>
      </c>
      <c r="D1921">
        <v>27425669</v>
      </c>
    </row>
    <row r="1922" spans="1:4" x14ac:dyDescent="0.25">
      <c r="A1922" t="str">
        <f>T("   481920")</f>
        <v xml:space="preserve">   481920</v>
      </c>
      <c r="B1922" t="str">
        <f>T("   BOITES ET CARTONNAGES, PLIANTS, EN PAPIER OU CARTON NON ONDULE")</f>
        <v xml:space="preserve">   BOITES ET CARTONNAGES, PLIANTS, EN PAPIER OU CARTON NON ONDULE</v>
      </c>
      <c r="C1922">
        <v>87326</v>
      </c>
      <c r="D1922">
        <v>54401896</v>
      </c>
    </row>
    <row r="1923" spans="1:4" x14ac:dyDescent="0.25">
      <c r="A1923" t="str">
        <f>T("   481940")</f>
        <v xml:space="preserve">   481940</v>
      </c>
      <c r="B1923" t="str">
        <f>T("   AUTRES SACS; SACHETS, POCHETTES (AUTRES QUE CELLES POUR DISQUES) ET CORNETS")</f>
        <v xml:space="preserve">   AUTRES SACS; SACHETS, POCHETTES (AUTRES QUE CELLES POUR DISQUES) ET CORNETS</v>
      </c>
      <c r="C1923">
        <v>716.3</v>
      </c>
      <c r="D1923">
        <v>1862190</v>
      </c>
    </row>
    <row r="1924" spans="1:4" x14ac:dyDescent="0.25">
      <c r="A1924" t="str">
        <f>T("   481960")</f>
        <v xml:space="preserve">   481960</v>
      </c>
      <c r="B1924" t="str">
        <f>T("   CARTONNAGES DE BUREAU, DE MAGASIN OU SIMILAIRES")</f>
        <v xml:space="preserve">   CARTONNAGES DE BUREAU, DE MAGASIN OU SIMILAIRES</v>
      </c>
      <c r="C1924">
        <v>13253</v>
      </c>
      <c r="D1924">
        <v>9060331</v>
      </c>
    </row>
    <row r="1925" spans="1:4" x14ac:dyDescent="0.25">
      <c r="A1925" t="str">
        <f>T("   482010")</f>
        <v xml:space="preserve">   482010</v>
      </c>
      <c r="B1925" t="str">
        <f>T("   REGISTRES, LIVRES COMPTABLES, CARNETS (DE NOTES, DE COMMANDES, DE QUITTANCES), BLOCS")</f>
        <v xml:space="preserve">   REGISTRES, LIVRES COMPTABLES, CARNETS (DE NOTES, DE COMMANDES, DE QUITTANCES), BLOCS</v>
      </c>
      <c r="C1925">
        <v>3560</v>
      </c>
      <c r="D1925">
        <v>3576950</v>
      </c>
    </row>
    <row r="1926" spans="1:4" x14ac:dyDescent="0.25">
      <c r="A1926" t="str">
        <f>T("   482020")</f>
        <v xml:space="preserve">   482020</v>
      </c>
      <c r="B1926" t="str">
        <f>T("   Cahiers")</f>
        <v xml:space="preserve">   Cahiers</v>
      </c>
      <c r="C1926">
        <v>14776</v>
      </c>
      <c r="D1926">
        <v>3194994</v>
      </c>
    </row>
    <row r="1927" spans="1:4" x14ac:dyDescent="0.25">
      <c r="A1927" t="str">
        <f>T("   482320")</f>
        <v xml:space="preserve">   482320</v>
      </c>
      <c r="B1927" t="str">
        <f>T("   PAPIER ET CARTONFILTRE")</f>
        <v xml:space="preserve">   PAPIER ET CARTONFILTRE</v>
      </c>
      <c r="C1927">
        <v>1</v>
      </c>
      <c r="D1927">
        <v>57020</v>
      </c>
    </row>
    <row r="1928" spans="1:4" x14ac:dyDescent="0.25">
      <c r="A1928" t="str">
        <f>T("   490110")</f>
        <v xml:space="preserve">   490110</v>
      </c>
      <c r="B1928" t="str">
        <f>T("   EN FEUILLETS ISOLES, MEME PLIES")</f>
        <v xml:space="preserve">   EN FEUILLETS ISOLES, MEME PLIES</v>
      </c>
      <c r="C1928">
        <v>1</v>
      </c>
      <c r="D1928">
        <v>22435</v>
      </c>
    </row>
    <row r="1929" spans="1:4" x14ac:dyDescent="0.25">
      <c r="A1929" t="str">
        <f>T("   490199")</f>
        <v xml:space="preserve">   490199</v>
      </c>
      <c r="B1929" t="str">
        <f>T("   AUTRES")</f>
        <v xml:space="preserve">   AUTRES</v>
      </c>
      <c r="C1929">
        <v>14028</v>
      </c>
      <c r="D1929">
        <v>18702654</v>
      </c>
    </row>
    <row r="1930" spans="1:4" x14ac:dyDescent="0.25">
      <c r="A1930" t="str">
        <f>T("   490700")</f>
        <v xml:space="preserve">   490700</v>
      </c>
      <c r="B1930" t="str">
        <f>T("   TIMBRESPOSTE, TIMBRES FISCAUX ET ANALOGUES, NON OBLITERES, AYANT COURS OU DESTINES A A")</f>
        <v xml:space="preserve">   TIMBRESPOSTE, TIMBRES FISCAUX ET ANALOGUES, NON OBLITERES, AYANT COURS OU DESTINES A A</v>
      </c>
      <c r="C1930">
        <v>21279</v>
      </c>
      <c r="D1930">
        <v>119700000</v>
      </c>
    </row>
    <row r="1931" spans="1:4" x14ac:dyDescent="0.25">
      <c r="A1931" t="str">
        <f>T("   491000")</f>
        <v xml:space="preserve">   491000</v>
      </c>
      <c r="B1931" t="str">
        <f>T("   CALENDRIERS DE TOUS GENRES, IMPRIMES, Y COMPRIS LES BLOCS DE CALENDRIERS A EFFEUILLER.")</f>
        <v xml:space="preserve">   CALENDRIERS DE TOUS GENRES, IMPRIMES, Y COMPRIS LES BLOCS DE CALENDRIERS A EFFEUILLER.</v>
      </c>
      <c r="C1931">
        <v>350</v>
      </c>
      <c r="D1931">
        <v>900000</v>
      </c>
    </row>
    <row r="1932" spans="1:4" x14ac:dyDescent="0.25">
      <c r="A1932" t="str">
        <f>T("   491110")</f>
        <v xml:space="preserve">   491110</v>
      </c>
      <c r="B1932" t="str">
        <f>T("   IMPRIMES PUBLICITAIRES, CATALOGUES COMMERCIAUX ET SIMILAIRES")</f>
        <v xml:space="preserve">   IMPRIMES PUBLICITAIRES, CATALOGUES COMMERCIAUX ET SIMILAIRES</v>
      </c>
      <c r="C1932">
        <v>5509.9</v>
      </c>
      <c r="D1932">
        <v>3190077</v>
      </c>
    </row>
    <row r="1933" spans="1:4" x14ac:dyDescent="0.25">
      <c r="A1933" t="str">
        <f>T("   491191")</f>
        <v xml:space="preserve">   491191</v>
      </c>
      <c r="B1933" t="str">
        <f>T("   IMAGES, GRAVURES ET PHOTOGRAPHIES")</f>
        <v xml:space="preserve">   IMAGES, GRAVURES ET PHOTOGRAPHIES</v>
      </c>
      <c r="C1933">
        <v>32</v>
      </c>
      <c r="D1933">
        <v>2401049</v>
      </c>
    </row>
    <row r="1934" spans="1:4" x14ac:dyDescent="0.25">
      <c r="A1934" t="str">
        <f>T("   491199")</f>
        <v xml:space="preserve">   491199</v>
      </c>
      <c r="B1934" t="str">
        <f>T("   AUTRES")</f>
        <v xml:space="preserve">   AUTRES</v>
      </c>
      <c r="C1934">
        <v>24222.5</v>
      </c>
      <c r="D1934">
        <v>61471154</v>
      </c>
    </row>
    <row r="1935" spans="1:4" x14ac:dyDescent="0.25">
      <c r="A1935" t="str">
        <f>T("   520100")</f>
        <v xml:space="preserve">   520100</v>
      </c>
      <c r="B1935" t="str">
        <f>T("   COTON, NON CARDE NI PEIGNE.")</f>
        <v xml:space="preserve">   COTON, NON CARDE NI PEIGNE.</v>
      </c>
      <c r="C1935">
        <v>113587129</v>
      </c>
      <c r="D1935">
        <v>98698808340</v>
      </c>
    </row>
    <row r="1936" spans="1:4" x14ac:dyDescent="0.25">
      <c r="A1936" t="str">
        <f>T("   520299")</f>
        <v xml:space="preserve">   520299</v>
      </c>
      <c r="B1936" t="str">
        <f>T("   AUTRES")</f>
        <v xml:space="preserve">   AUTRES</v>
      </c>
      <c r="C1936">
        <v>651975</v>
      </c>
      <c r="D1936">
        <v>121937430</v>
      </c>
    </row>
    <row r="1937" spans="1:4" x14ac:dyDescent="0.25">
      <c r="A1937" t="str">
        <f>T("   520419")</f>
        <v xml:space="preserve">   520419</v>
      </c>
      <c r="B1937" t="str">
        <f>T("   AUTRES")</f>
        <v xml:space="preserve">   AUTRES</v>
      </c>
      <c r="C1937">
        <v>347681</v>
      </c>
      <c r="D1937">
        <v>213441600</v>
      </c>
    </row>
    <row r="1938" spans="1:4" x14ac:dyDescent="0.25">
      <c r="A1938" t="str">
        <f>T("   520512")</f>
        <v xml:space="preserve">   520512</v>
      </c>
      <c r="B1938" t="str">
        <f>T("   TITRANT MOINS DE 714,29 DECITEX   MAIS PAS MOINS DE 232,56 DECITEX   (EXCEDANT 14 NU")</f>
        <v xml:space="preserve">   TITRANT MOINS DE 714,29 DECITEX   MAIS PAS MOINS DE 232,56 DECITEX   (EXCEDANT 14 NU</v>
      </c>
      <c r="C1938">
        <v>160400</v>
      </c>
      <c r="D1938">
        <v>257779160</v>
      </c>
    </row>
    <row r="1939" spans="1:4" x14ac:dyDescent="0.25">
      <c r="A1939" t="str">
        <f>T("   520812")</f>
        <v xml:space="preserve">   520812</v>
      </c>
      <c r="B1939" t="str">
        <f>T("   A ARMURE TOILE, D'UN POIDS EXCEDANT 100 G/M²")</f>
        <v xml:space="preserve">   A ARMURE TOILE, D'UN POIDS EXCEDANT 100 G/M²</v>
      </c>
      <c r="C1939">
        <v>2143813</v>
      </c>
      <c r="D1939">
        <v>5743032036</v>
      </c>
    </row>
    <row r="1940" spans="1:4" x14ac:dyDescent="0.25">
      <c r="A1940" t="str">
        <f>T("   520819")</f>
        <v xml:space="preserve">   520819</v>
      </c>
      <c r="B1940" t="str">
        <f>T("   AUTRES TISSUS")</f>
        <v xml:space="preserve">   AUTRES TISSUS</v>
      </c>
      <c r="C1940">
        <v>301773</v>
      </c>
      <c r="D1940">
        <v>690063650</v>
      </c>
    </row>
    <row r="1941" spans="1:4" x14ac:dyDescent="0.25">
      <c r="A1941" t="str">
        <f>T("   520821")</f>
        <v xml:space="preserve">   520821</v>
      </c>
      <c r="B1941" t="str">
        <f>T("   A ARMURE TOILE, D'UN POIDS N'EXCEDANT PAS 100 G/M²")</f>
        <v xml:space="preserve">   A ARMURE TOILE, D'UN POIDS N'EXCEDANT PAS 100 G/M²</v>
      </c>
      <c r="C1941">
        <v>37800</v>
      </c>
      <c r="D1941">
        <v>22000000</v>
      </c>
    </row>
    <row r="1942" spans="1:4" x14ac:dyDescent="0.25">
      <c r="A1942" t="str">
        <f>T("   520829")</f>
        <v xml:space="preserve">   520829</v>
      </c>
      <c r="B1942" t="str">
        <f>T("   AUTRES TISSUS")</f>
        <v xml:space="preserve">   AUTRES TISSUS</v>
      </c>
      <c r="C1942">
        <v>2610</v>
      </c>
      <c r="D1942">
        <v>650000</v>
      </c>
    </row>
    <row r="1943" spans="1:4" x14ac:dyDescent="0.25">
      <c r="A1943" t="str">
        <f>T("   520859")</f>
        <v xml:space="preserve">   520859</v>
      </c>
      <c r="B1943" t="str">
        <f>T("   AUTRES TISSUS")</f>
        <v xml:space="preserve">   AUTRES TISSUS</v>
      </c>
      <c r="C1943">
        <v>49880</v>
      </c>
      <c r="D1943">
        <v>32000000</v>
      </c>
    </row>
    <row r="1944" spans="1:4" x14ac:dyDescent="0.25">
      <c r="A1944" t="str">
        <f>T("   520959")</f>
        <v xml:space="preserve">   520959</v>
      </c>
      <c r="B1944" t="str">
        <f>T("   AUTRES TISSUS")</f>
        <v xml:space="preserve">   AUTRES TISSUS</v>
      </c>
      <c r="C1944">
        <v>18450</v>
      </c>
      <c r="D1944">
        <v>10000</v>
      </c>
    </row>
    <row r="1945" spans="1:4" x14ac:dyDescent="0.25">
      <c r="A1945" t="str">
        <f>T("   551519")</f>
        <v xml:space="preserve">   551519</v>
      </c>
      <c r="B1945" t="str">
        <f>T("   AUTRES")</f>
        <v xml:space="preserve">   AUTRES</v>
      </c>
      <c r="C1945">
        <v>5000</v>
      </c>
      <c r="D1945">
        <v>2962481</v>
      </c>
    </row>
    <row r="1946" spans="1:4" x14ac:dyDescent="0.25">
      <c r="A1946" t="str">
        <f>T("   560749")</f>
        <v xml:space="preserve">   560749</v>
      </c>
      <c r="B1946" t="str">
        <f>T("   AUTRES")</f>
        <v xml:space="preserve">   AUTRES</v>
      </c>
      <c r="C1946">
        <v>16705</v>
      </c>
      <c r="D1946">
        <v>16399</v>
      </c>
    </row>
    <row r="1947" spans="1:4" x14ac:dyDescent="0.25">
      <c r="A1947" t="str">
        <f>T("   570190")</f>
        <v xml:space="preserve">   570190</v>
      </c>
      <c r="B1947" t="str">
        <f>T("   D'AUTRES MATIERES TEXTILES")</f>
        <v xml:space="preserve">   D'AUTRES MATIERES TEXTILES</v>
      </c>
      <c r="C1947">
        <v>2500</v>
      </c>
      <c r="D1947">
        <v>1500000</v>
      </c>
    </row>
    <row r="1948" spans="1:4" x14ac:dyDescent="0.25">
      <c r="A1948" t="str">
        <f>T("   570390")</f>
        <v xml:space="preserve">   570390</v>
      </c>
      <c r="B1948" t="str">
        <f>T("   D'AUTRES MATIERES TEXTILES")</f>
        <v xml:space="preserve">   D'AUTRES MATIERES TEXTILES</v>
      </c>
      <c r="C1948">
        <v>350</v>
      </c>
      <c r="D1948">
        <v>1500000</v>
      </c>
    </row>
    <row r="1949" spans="1:4" x14ac:dyDescent="0.25">
      <c r="A1949" t="str">
        <f>T("   570500")</f>
        <v xml:space="preserve">   570500</v>
      </c>
      <c r="B1949" t="str">
        <f>T("   AUTRES TAPIS ET REVETEMENTS DE SOL EN MATIERES TEXTILES, MEME CONFECTIONNES.")</f>
        <v xml:space="preserve">   AUTRES TAPIS ET REVETEMENTS DE SOL EN MATIERES TEXTILES, MEME CONFECTIONNES.</v>
      </c>
      <c r="C1949">
        <v>3285</v>
      </c>
      <c r="D1949">
        <v>909246</v>
      </c>
    </row>
    <row r="1950" spans="1:4" x14ac:dyDescent="0.25">
      <c r="A1950" t="str">
        <f>T("   610339")</f>
        <v xml:space="preserve">   610339</v>
      </c>
      <c r="B1950" t="str">
        <f t="shared" ref="B1950:B1955" si="5">T("   D'AUTRES MATIERES TEXTILES")</f>
        <v xml:space="preserve">   D'AUTRES MATIERES TEXTILES</v>
      </c>
      <c r="C1950">
        <v>5830</v>
      </c>
      <c r="D1950">
        <v>9000000</v>
      </c>
    </row>
    <row r="1951" spans="1:4" x14ac:dyDescent="0.25">
      <c r="A1951" t="str">
        <f>T("   610449")</f>
        <v xml:space="preserve">   610449</v>
      </c>
      <c r="B1951" t="str">
        <f t="shared" si="5"/>
        <v xml:space="preserve">   D'AUTRES MATIERES TEXTILES</v>
      </c>
      <c r="C1951">
        <v>1327</v>
      </c>
      <c r="D1951">
        <v>3000000</v>
      </c>
    </row>
    <row r="1952" spans="1:4" x14ac:dyDescent="0.25">
      <c r="A1952" t="str">
        <f>T("   610799")</f>
        <v xml:space="preserve">   610799</v>
      </c>
      <c r="B1952" t="str">
        <f t="shared" si="5"/>
        <v xml:space="preserve">   D'AUTRES MATIERES TEXTILES</v>
      </c>
      <c r="C1952">
        <v>8000</v>
      </c>
      <c r="D1952">
        <v>3942320</v>
      </c>
    </row>
    <row r="1953" spans="1:4" x14ac:dyDescent="0.25">
      <c r="A1953" t="str">
        <f>T("   610829")</f>
        <v xml:space="preserve">   610829</v>
      </c>
      <c r="B1953" t="str">
        <f t="shared" si="5"/>
        <v xml:space="preserve">   D'AUTRES MATIERES TEXTILES</v>
      </c>
      <c r="C1953">
        <v>200</v>
      </c>
      <c r="D1953">
        <v>200000</v>
      </c>
    </row>
    <row r="1954" spans="1:4" x14ac:dyDescent="0.25">
      <c r="A1954" t="str">
        <f>T("   610990")</f>
        <v xml:space="preserve">   610990</v>
      </c>
      <c r="B1954" t="str">
        <f t="shared" si="5"/>
        <v xml:space="preserve">   D'AUTRES MATIERES TEXTILES</v>
      </c>
      <c r="C1954">
        <v>434</v>
      </c>
      <c r="D1954">
        <v>2672000</v>
      </c>
    </row>
    <row r="1955" spans="1:4" x14ac:dyDescent="0.25">
      <c r="A1955" t="str">
        <f>T("   611190")</f>
        <v xml:space="preserve">   611190</v>
      </c>
      <c r="B1955" t="str">
        <f t="shared" si="5"/>
        <v xml:space="preserve">   D'AUTRES MATIERES TEXTILES</v>
      </c>
      <c r="C1955">
        <v>175</v>
      </c>
      <c r="D1955">
        <v>1971000</v>
      </c>
    </row>
    <row r="1956" spans="1:4" x14ac:dyDescent="0.25">
      <c r="A1956" t="str">
        <f>T("   611300")</f>
        <v xml:space="preserve">   611300</v>
      </c>
      <c r="B1956" t="str">
        <f>T("   VETEMENTS CONFECTIONNES EN ETOFFES DE BONNETERIE DES N°S 59.03, 59.06 OU 59.07.")</f>
        <v xml:space="preserve">   VETEMENTS CONFECTIONNES EN ETOFFES DE BONNETERIE DES N°S 59.03, 59.06 OU 59.07.</v>
      </c>
      <c r="C1956">
        <v>424</v>
      </c>
      <c r="D1956">
        <v>3279800</v>
      </c>
    </row>
    <row r="1957" spans="1:4" x14ac:dyDescent="0.25">
      <c r="A1957" t="str">
        <f>T("   611420")</f>
        <v xml:space="preserve">   611420</v>
      </c>
      <c r="B1957" t="str">
        <f>T("   DE COTON")</f>
        <v xml:space="preserve">   DE COTON</v>
      </c>
      <c r="C1957">
        <v>100</v>
      </c>
      <c r="D1957">
        <v>200000</v>
      </c>
    </row>
    <row r="1958" spans="1:4" x14ac:dyDescent="0.25">
      <c r="A1958" t="str">
        <f>T("   611490")</f>
        <v xml:space="preserve">   611490</v>
      </c>
      <c r="B1958" t="str">
        <f>T("   D'AUTRES MATIERES TEXTILES")</f>
        <v xml:space="preserve">   D'AUTRES MATIERES TEXTILES</v>
      </c>
      <c r="C1958">
        <v>8000</v>
      </c>
      <c r="D1958">
        <v>3500000</v>
      </c>
    </row>
    <row r="1959" spans="1:4" x14ac:dyDescent="0.25">
      <c r="A1959" t="str">
        <f>T("   611610")</f>
        <v xml:space="preserve">   611610</v>
      </c>
      <c r="B1959" t="str">
        <f>T("   IMPREGNES, ENDUITS OU RECOUVERTS DE MATIERES PLASTIQUES OU DE CAOUTCHOUC")</f>
        <v xml:space="preserve">   IMPREGNES, ENDUITS OU RECOUVERTS DE MATIERES PLASTIQUES OU DE CAOUTCHOUC</v>
      </c>
      <c r="C1959">
        <v>4.5</v>
      </c>
      <c r="D1959">
        <v>254977</v>
      </c>
    </row>
    <row r="1960" spans="1:4" x14ac:dyDescent="0.25">
      <c r="A1960" t="str">
        <f>T("   611780")</f>
        <v xml:space="preserve">   611780</v>
      </c>
      <c r="B1960" t="str">
        <f>T("   AUTRES ACCESSOIRES")</f>
        <v xml:space="preserve">   AUTRES ACCESSOIRES</v>
      </c>
      <c r="C1960">
        <v>6500</v>
      </c>
      <c r="D1960">
        <v>5894779</v>
      </c>
    </row>
    <row r="1961" spans="1:4" x14ac:dyDescent="0.25">
      <c r="A1961" t="str">
        <f>T("   620329")</f>
        <v xml:space="preserve">   620329</v>
      </c>
      <c r="B1961" t="str">
        <f>T("   D'AUTRES MATIERES TEXTILES")</f>
        <v xml:space="preserve">   D'AUTRES MATIERES TEXTILES</v>
      </c>
      <c r="C1961">
        <v>10</v>
      </c>
      <c r="D1961">
        <v>500000</v>
      </c>
    </row>
    <row r="1962" spans="1:4" x14ac:dyDescent="0.25">
      <c r="A1962" t="str">
        <f>T("   620342")</f>
        <v xml:space="preserve">   620342</v>
      </c>
      <c r="B1962" t="str">
        <f>T("   DE COTON")</f>
        <v xml:space="preserve">   DE COTON</v>
      </c>
      <c r="C1962">
        <v>3889</v>
      </c>
      <c r="D1962">
        <v>27677043</v>
      </c>
    </row>
    <row r="1963" spans="1:4" x14ac:dyDescent="0.25">
      <c r="A1963" t="str">
        <f>T("   620349")</f>
        <v xml:space="preserve">   620349</v>
      </c>
      <c r="B1963" t="str">
        <f>T("   D'AUTRES MATIERES TEXTILES")</f>
        <v xml:space="preserve">   D'AUTRES MATIERES TEXTILES</v>
      </c>
      <c r="C1963">
        <v>2266</v>
      </c>
      <c r="D1963">
        <v>4180389</v>
      </c>
    </row>
    <row r="1964" spans="1:4" x14ac:dyDescent="0.25">
      <c r="A1964" t="str">
        <f>T("   620421")</f>
        <v xml:space="preserve">   620421</v>
      </c>
      <c r="B1964" t="str">
        <f>T("   DE LAINE OU DE POILS FINS")</f>
        <v xml:space="preserve">   DE LAINE OU DE POILS FINS</v>
      </c>
      <c r="C1964">
        <v>200</v>
      </c>
      <c r="D1964">
        <v>200000</v>
      </c>
    </row>
    <row r="1965" spans="1:4" x14ac:dyDescent="0.25">
      <c r="A1965" t="str">
        <f>T("   620590")</f>
        <v xml:space="preserve">   620590</v>
      </c>
      <c r="B1965" t="str">
        <f>T("   D'AUTRES MATIERES TEXTILES")</f>
        <v xml:space="preserve">   D'AUTRES MATIERES TEXTILES</v>
      </c>
      <c r="C1965">
        <v>43655</v>
      </c>
      <c r="D1965">
        <v>36690258</v>
      </c>
    </row>
    <row r="1966" spans="1:4" x14ac:dyDescent="0.25">
      <c r="A1966" t="str">
        <f>T("   621020")</f>
        <v xml:space="preserve">   621020</v>
      </c>
      <c r="B1966" t="str">
        <f>T("   AUTRES VETEMENTS, DES TYPES VISES DANS LES N°S 6201.11 A 6201.19")</f>
        <v xml:space="preserve">   AUTRES VETEMENTS, DES TYPES VISES DANS LES N°S 6201.11 A 6201.19</v>
      </c>
      <c r="C1966">
        <v>105</v>
      </c>
      <c r="D1966">
        <v>400500</v>
      </c>
    </row>
    <row r="1967" spans="1:4" x14ac:dyDescent="0.25">
      <c r="A1967" t="str">
        <f>T("   621030")</f>
        <v xml:space="preserve">   621030</v>
      </c>
      <c r="B1967" t="str">
        <f>T("   AUTRES VETEMENTS, DES TYPES VISES DANS LES N°S 6202.11 A 6202.19")</f>
        <v xml:space="preserve">   AUTRES VETEMENTS, DES TYPES VISES DANS LES N°S 6202.11 A 6202.19</v>
      </c>
      <c r="C1967">
        <v>2861</v>
      </c>
      <c r="D1967">
        <v>38045680</v>
      </c>
    </row>
    <row r="1968" spans="1:4" x14ac:dyDescent="0.25">
      <c r="A1968" t="str">
        <f>T("   621040")</f>
        <v xml:space="preserve">   621040</v>
      </c>
      <c r="B1968" t="str">
        <f>T("   AUTRES VETEMENTS POUR HOMMES OU GARCONNETS")</f>
        <v xml:space="preserve">   AUTRES VETEMENTS POUR HOMMES OU GARCONNETS</v>
      </c>
      <c r="C1968">
        <v>25509</v>
      </c>
      <c r="D1968">
        <v>23767481</v>
      </c>
    </row>
    <row r="1969" spans="1:4" x14ac:dyDescent="0.25">
      <c r="A1969" t="str">
        <f>T("   621050")</f>
        <v xml:space="preserve">   621050</v>
      </c>
      <c r="B1969" t="str">
        <f>T("   AUTRES VETEMENTS POUR FEMMES OU FILLETTES")</f>
        <v xml:space="preserve">   AUTRES VETEMENTS POUR FEMMES OU FILLETTES</v>
      </c>
      <c r="C1969">
        <v>341.5</v>
      </c>
      <c r="D1969">
        <v>2500000</v>
      </c>
    </row>
    <row r="1970" spans="1:4" x14ac:dyDescent="0.25">
      <c r="A1970" t="str">
        <f>T("   621490")</f>
        <v xml:space="preserve">   621490</v>
      </c>
      <c r="B1970" t="str">
        <f>T("   D'AUTRES MATIERES TEXTILES")</f>
        <v xml:space="preserve">   D'AUTRES MATIERES TEXTILES</v>
      </c>
      <c r="C1970">
        <v>85</v>
      </c>
      <c r="D1970">
        <v>100000</v>
      </c>
    </row>
    <row r="1971" spans="1:4" x14ac:dyDescent="0.25">
      <c r="A1971" t="str">
        <f>T("   630259")</f>
        <v xml:space="preserve">   630259</v>
      </c>
      <c r="B1971" t="str">
        <f>T("   D'AUTRES MATIERES TEXTILES")</f>
        <v xml:space="preserve">   D'AUTRES MATIERES TEXTILES</v>
      </c>
      <c r="C1971">
        <v>2500</v>
      </c>
      <c r="D1971">
        <v>885816</v>
      </c>
    </row>
    <row r="1972" spans="1:4" x14ac:dyDescent="0.25">
      <c r="A1972" t="str">
        <f>T("   630299")</f>
        <v xml:space="preserve">   630299</v>
      </c>
      <c r="B1972" t="str">
        <f>T("   D'AUTRES MATIERES TEXTILES")</f>
        <v xml:space="preserve">   D'AUTRES MATIERES TEXTILES</v>
      </c>
      <c r="C1972">
        <v>45</v>
      </c>
      <c r="D1972">
        <v>365639</v>
      </c>
    </row>
    <row r="1973" spans="1:4" x14ac:dyDescent="0.25">
      <c r="A1973" t="str">
        <f>T("   630319")</f>
        <v xml:space="preserve">   630319</v>
      </c>
      <c r="B1973" t="str">
        <f>T("   D'AUTRES MATIERES TEXTILES")</f>
        <v xml:space="preserve">   D'AUTRES MATIERES TEXTILES</v>
      </c>
      <c r="C1973">
        <v>1500</v>
      </c>
      <c r="D1973">
        <v>712175</v>
      </c>
    </row>
    <row r="1974" spans="1:4" x14ac:dyDescent="0.25">
      <c r="A1974" t="str">
        <f>T("   630510")</f>
        <v xml:space="preserve">   630510</v>
      </c>
      <c r="B1974" t="str">
        <f>T("   DE JUTE OU D'AUTRES FIBRES TEXTILES LIBERIENNES DU N° 53.03")</f>
        <v xml:space="preserve">   DE JUTE OU D'AUTRES FIBRES TEXTILES LIBERIENNES DU N° 53.03</v>
      </c>
      <c r="C1974">
        <v>244068.58</v>
      </c>
      <c r="D1974">
        <v>192613170</v>
      </c>
    </row>
    <row r="1975" spans="1:4" x14ac:dyDescent="0.25">
      <c r="A1975" t="str">
        <f>T("   630612")</f>
        <v xml:space="preserve">   630612</v>
      </c>
      <c r="B1975" t="str">
        <f>T("   DE FIBRES SYNTHETIQUES")</f>
        <v xml:space="preserve">   DE FIBRES SYNTHETIQUES</v>
      </c>
      <c r="C1975">
        <v>1269</v>
      </c>
      <c r="D1975">
        <v>6298405</v>
      </c>
    </row>
    <row r="1976" spans="1:4" x14ac:dyDescent="0.25">
      <c r="A1976" t="str">
        <f>T("   630629")</f>
        <v xml:space="preserve">   630629</v>
      </c>
      <c r="B1976" t="str">
        <f>T("   D'AUTRES MATIERES TEXTILES")</f>
        <v xml:space="preserve">   D'AUTRES MATIERES TEXTILES</v>
      </c>
      <c r="C1976">
        <v>2039</v>
      </c>
      <c r="D1976">
        <v>1650000</v>
      </c>
    </row>
    <row r="1977" spans="1:4" x14ac:dyDescent="0.25">
      <c r="A1977" t="str">
        <f>T("   630649")</f>
        <v xml:space="preserve">   630649</v>
      </c>
      <c r="B1977" t="str">
        <f>T("   MATELAS PNEUMATIQUES D'AUTRES MATIERES TEXTILES")</f>
        <v xml:space="preserve">   MATELAS PNEUMATIQUES D'AUTRES MATIERES TEXTILES</v>
      </c>
      <c r="C1977">
        <v>471</v>
      </c>
      <c r="D1977">
        <v>600000</v>
      </c>
    </row>
    <row r="1978" spans="1:4" x14ac:dyDescent="0.25">
      <c r="A1978" t="str">
        <f>T("   630720")</f>
        <v xml:space="preserve">   630720</v>
      </c>
      <c r="B1978" t="str">
        <f>T("   CEINTURES ET GILETS DE SAUVETAGE")</f>
        <v xml:space="preserve">   CEINTURES ET GILETS DE SAUVETAGE</v>
      </c>
      <c r="C1978">
        <v>2</v>
      </c>
      <c r="D1978">
        <v>92609</v>
      </c>
    </row>
    <row r="1979" spans="1:4" x14ac:dyDescent="0.25">
      <c r="A1979" t="str">
        <f>T("   630800")</f>
        <v xml:space="preserve">   630800</v>
      </c>
      <c r="B1979" t="str">
        <f>T("   ASSORTIMENTS COMPOSES DE PIECES DE TISSUS ET DE FILS, MEME AVEC ACCESSOIRES, POUR LA CO")</f>
        <v xml:space="preserve">   ASSORTIMENTS COMPOSES DE PIECES DE TISSUS ET DE FILS, MEME AVEC ACCESSOIRES, POUR LA CO</v>
      </c>
      <c r="C1979">
        <v>23</v>
      </c>
      <c r="D1979">
        <v>75134</v>
      </c>
    </row>
    <row r="1980" spans="1:4" x14ac:dyDescent="0.25">
      <c r="A1980" t="str">
        <f>T("   630900")</f>
        <v xml:space="preserve">   630900</v>
      </c>
      <c r="B1980" t="str">
        <f>T("   ARTICLES DE FRIPERIE.")</f>
        <v xml:space="preserve">   ARTICLES DE FRIPERIE.</v>
      </c>
      <c r="C1980">
        <v>44090</v>
      </c>
      <c r="D1980">
        <v>14466280</v>
      </c>
    </row>
    <row r="1981" spans="1:4" x14ac:dyDescent="0.25">
      <c r="A1981" t="str">
        <f>T("   640319")</f>
        <v xml:space="preserve">   640319</v>
      </c>
      <c r="B1981" t="str">
        <f>T("   AUTRES")</f>
        <v xml:space="preserve">   AUTRES</v>
      </c>
      <c r="C1981">
        <v>1040</v>
      </c>
      <c r="D1981">
        <v>975000</v>
      </c>
    </row>
    <row r="1982" spans="1:4" x14ac:dyDescent="0.25">
      <c r="A1982" t="str">
        <f>T("   640590")</f>
        <v xml:space="preserve">   640590</v>
      </c>
      <c r="B1982" t="str">
        <f>T("   AUTRES")</f>
        <v xml:space="preserve">   AUTRES</v>
      </c>
      <c r="C1982">
        <v>17300</v>
      </c>
      <c r="D1982">
        <v>46381317</v>
      </c>
    </row>
    <row r="1983" spans="1:4" x14ac:dyDescent="0.25">
      <c r="A1983" t="str">
        <f>T("   670419")</f>
        <v xml:space="preserve">   670419</v>
      </c>
      <c r="B1983" t="str">
        <f>T("   AUTRES")</f>
        <v xml:space="preserve">   AUTRES</v>
      </c>
      <c r="C1983">
        <v>6070</v>
      </c>
      <c r="D1983">
        <v>3000000</v>
      </c>
    </row>
    <row r="1984" spans="1:4" x14ac:dyDescent="0.25">
      <c r="A1984" t="str">
        <f>T("   680229")</f>
        <v xml:space="preserve">   680229</v>
      </c>
      <c r="B1984" t="str">
        <f>T("   AUTRES PIERRES")</f>
        <v xml:space="preserve">   AUTRES PIERRES</v>
      </c>
      <c r="C1984">
        <v>24950</v>
      </c>
      <c r="D1984">
        <v>2000000</v>
      </c>
    </row>
    <row r="1985" spans="1:4" x14ac:dyDescent="0.25">
      <c r="A1985" t="str">
        <f>T("   680430")</f>
        <v xml:space="preserve">   680430</v>
      </c>
      <c r="B1985" t="str">
        <f>T("   Pierres a aiguiser ou a polir a la main")</f>
        <v xml:space="preserve">   Pierres a aiguiser ou a polir a la main</v>
      </c>
      <c r="C1985">
        <v>18000</v>
      </c>
      <c r="D1985">
        <v>700000</v>
      </c>
    </row>
    <row r="1986" spans="1:4" x14ac:dyDescent="0.25">
      <c r="A1986" t="str">
        <f>T("   681019")</f>
        <v xml:space="preserve">   681019</v>
      </c>
      <c r="B1986" t="str">
        <f>T("   AUTRES")</f>
        <v xml:space="preserve">   AUTRES</v>
      </c>
      <c r="C1986">
        <v>745557.5</v>
      </c>
      <c r="D1986">
        <v>68944000</v>
      </c>
    </row>
    <row r="1987" spans="1:4" x14ac:dyDescent="0.25">
      <c r="A1987" t="str">
        <f>T("   681099")</f>
        <v xml:space="preserve">   681099</v>
      </c>
      <c r="B1987" t="str">
        <f>T("   AUTRES")</f>
        <v xml:space="preserve">   AUTRES</v>
      </c>
      <c r="C1987">
        <v>1220</v>
      </c>
      <c r="D1987">
        <v>6887580</v>
      </c>
    </row>
    <row r="1988" spans="1:4" x14ac:dyDescent="0.25">
      <c r="A1988" t="str">
        <f>T("   690890")</f>
        <v xml:space="preserve">   690890</v>
      </c>
      <c r="B1988" t="str">
        <f>T("   AUTRES")</f>
        <v xml:space="preserve">   AUTRES</v>
      </c>
      <c r="C1988">
        <v>6000</v>
      </c>
      <c r="D1988">
        <v>1200000</v>
      </c>
    </row>
    <row r="1989" spans="1:4" x14ac:dyDescent="0.25">
      <c r="A1989" t="str">
        <f>T("   691090")</f>
        <v xml:space="preserve">   691090</v>
      </c>
      <c r="B1989" t="str">
        <f>T("   AUTRES")</f>
        <v xml:space="preserve">   AUTRES</v>
      </c>
      <c r="C1989">
        <v>6390</v>
      </c>
      <c r="D1989">
        <v>24216731</v>
      </c>
    </row>
    <row r="1990" spans="1:4" x14ac:dyDescent="0.25">
      <c r="A1990" t="str">
        <f>T("   691200")</f>
        <v xml:space="preserve">   691200</v>
      </c>
      <c r="B1990" t="str">
        <f>T("   VAISSELLE, AUTRES ARTICLES DE MENAGE OU D'ECONOMIE DOMESTIQUE ET ARTICLES D'HYGIENE OU")</f>
        <v xml:space="preserve">   VAISSELLE, AUTRES ARTICLES DE MENAGE OU D'ECONOMIE DOMESTIQUE ET ARTICLES D'HYGIENE OU</v>
      </c>
      <c r="C1990">
        <v>627</v>
      </c>
      <c r="D1990">
        <v>1199706</v>
      </c>
    </row>
    <row r="1991" spans="1:4" x14ac:dyDescent="0.25">
      <c r="A1991" t="str">
        <f>T("   701090")</f>
        <v xml:space="preserve">   701090</v>
      </c>
      <c r="B1991" t="str">
        <f>T("   AUTRES")</f>
        <v xml:space="preserve">   AUTRES</v>
      </c>
      <c r="C1991">
        <v>78433</v>
      </c>
      <c r="D1991">
        <v>17250808</v>
      </c>
    </row>
    <row r="1992" spans="1:4" x14ac:dyDescent="0.25">
      <c r="A1992" t="str">
        <f>T("   701337")</f>
        <v xml:space="preserve">   701337</v>
      </c>
      <c r="B1992" t="str">
        <f>T("   AUTRES")</f>
        <v xml:space="preserve">   AUTRES</v>
      </c>
      <c r="C1992">
        <v>2564</v>
      </c>
      <c r="D1992">
        <v>950000</v>
      </c>
    </row>
    <row r="1993" spans="1:4" x14ac:dyDescent="0.25">
      <c r="A1993" t="str">
        <f>T("   701790")</f>
        <v xml:space="preserve">   701790</v>
      </c>
      <c r="B1993" t="str">
        <f>T("   AUTRE")</f>
        <v xml:space="preserve">   AUTRE</v>
      </c>
      <c r="C1993">
        <v>2301</v>
      </c>
      <c r="D1993">
        <v>524116</v>
      </c>
    </row>
    <row r="1994" spans="1:4" x14ac:dyDescent="0.25">
      <c r="A1994" t="str">
        <f>T("   701911")</f>
        <v xml:space="preserve">   701911</v>
      </c>
      <c r="B1994" t="str">
        <f>T("   FILS COUPES (CHOPPED STRANDS), D'UNE LONGUEUR N'EXCEDANT PAS 50 MM")</f>
        <v xml:space="preserve">   FILS COUPES (CHOPPED STRANDS), D'UNE LONGUEUR N'EXCEDANT PAS 50 MM</v>
      </c>
      <c r="C1994">
        <v>11861</v>
      </c>
      <c r="D1994">
        <v>43815844</v>
      </c>
    </row>
    <row r="1995" spans="1:4" x14ac:dyDescent="0.25">
      <c r="A1995" t="str">
        <f>T("   702000")</f>
        <v xml:space="preserve">   702000</v>
      </c>
      <c r="B1995" t="str">
        <f>T("   AUTRES OUVRAGES EN VERRE.")</f>
        <v xml:space="preserve">   AUTRES OUVRAGES EN VERRE.</v>
      </c>
      <c r="C1995">
        <v>8525</v>
      </c>
      <c r="D1995">
        <v>4098360</v>
      </c>
    </row>
    <row r="1996" spans="1:4" x14ac:dyDescent="0.25">
      <c r="A1996" t="str">
        <f>T("   711790")</f>
        <v xml:space="preserve">   711790</v>
      </c>
      <c r="B1996" t="str">
        <f>T("   AUTRES")</f>
        <v xml:space="preserve">   AUTRES</v>
      </c>
      <c r="C1996">
        <v>19</v>
      </c>
      <c r="D1996">
        <v>200000</v>
      </c>
    </row>
    <row r="1997" spans="1:4" x14ac:dyDescent="0.25">
      <c r="A1997" t="str">
        <f>T("   720429")</f>
        <v xml:space="preserve">   720429</v>
      </c>
      <c r="B1997" t="str">
        <f>T("   AUTRES")</f>
        <v xml:space="preserve">   AUTRES</v>
      </c>
      <c r="C1997">
        <v>99238016</v>
      </c>
      <c r="D1997">
        <v>5055164200</v>
      </c>
    </row>
    <row r="1998" spans="1:4" x14ac:dyDescent="0.25">
      <c r="A1998" t="str">
        <f>T("   720430")</f>
        <v xml:space="preserve">   720430</v>
      </c>
      <c r="B1998" t="str">
        <f>T("   Dechets et debris de fer ou d'acier etames")</f>
        <v xml:space="preserve">   Dechets et debris de fer ou d'acier etames</v>
      </c>
      <c r="C1998">
        <v>43315000</v>
      </c>
      <c r="D1998">
        <v>2169750000</v>
      </c>
    </row>
    <row r="1999" spans="1:4" x14ac:dyDescent="0.25">
      <c r="A1999" t="str">
        <f>T("   720449")</f>
        <v xml:space="preserve">   720449</v>
      </c>
      <c r="B1999" t="str">
        <f>T("   AUTRES")</f>
        <v xml:space="preserve">   AUTRES</v>
      </c>
      <c r="C1999">
        <v>14757000</v>
      </c>
      <c r="D1999">
        <v>738891032</v>
      </c>
    </row>
    <row r="2000" spans="1:4" x14ac:dyDescent="0.25">
      <c r="A2000" t="str">
        <f>T("   720510")</f>
        <v xml:space="preserve">   720510</v>
      </c>
      <c r="B2000" t="str">
        <f>T("   GRENAILLES")</f>
        <v xml:space="preserve">   GRENAILLES</v>
      </c>
      <c r="C2000">
        <v>50000</v>
      </c>
      <c r="D2000">
        <v>5000000</v>
      </c>
    </row>
    <row r="2001" spans="1:4" x14ac:dyDescent="0.25">
      <c r="A2001" t="str">
        <f>T("   720836")</f>
        <v xml:space="preserve">   720836</v>
      </c>
      <c r="B2001" t="str">
        <f>T("   D'UNE EPAISSEUR EXCEDANT 10 MM")</f>
        <v xml:space="preserve">   D'UNE EPAISSEUR EXCEDANT 10 MM</v>
      </c>
      <c r="C2001">
        <v>1935430</v>
      </c>
      <c r="D2001">
        <v>709369750</v>
      </c>
    </row>
    <row r="2002" spans="1:4" x14ac:dyDescent="0.25">
      <c r="A2002" t="str">
        <f>T("   720838")</f>
        <v xml:space="preserve">   720838</v>
      </c>
      <c r="B2002" t="str">
        <f>T("   D'UNE EPAISSEUR DE 3 MM OU PLUS MAIS INFERIEURE A 4,75 MM")</f>
        <v xml:space="preserve">   D'UNE EPAISSEUR DE 3 MM OU PLUS MAIS INFERIEURE A 4,75 MM</v>
      </c>
      <c r="C2002">
        <v>900000</v>
      </c>
      <c r="D2002">
        <v>278957850</v>
      </c>
    </row>
    <row r="2003" spans="1:4" x14ac:dyDescent="0.25">
      <c r="A2003" t="str">
        <f>T("   720839")</f>
        <v xml:space="preserve">   720839</v>
      </c>
      <c r="B2003" t="str">
        <f>T("   D'UNE EPAISSEUR INFERIEURE A 3 MM")</f>
        <v xml:space="preserve">   D'UNE EPAISSEUR INFERIEURE A 3 MM</v>
      </c>
      <c r="C2003">
        <v>50000</v>
      </c>
      <c r="D2003">
        <v>16840547</v>
      </c>
    </row>
    <row r="2004" spans="1:4" x14ac:dyDescent="0.25">
      <c r="A2004" t="str">
        <f>T("   720853")</f>
        <v xml:space="preserve">   720853</v>
      </c>
      <c r="B2004" t="str">
        <f>T("   D'UNE EPAISSEUR DE 3 MM OU PLUS MAIS INFERIEURE A 4,75 MM")</f>
        <v xml:space="preserve">   D'UNE EPAISSEUR DE 3 MM OU PLUS MAIS INFERIEURE A 4,75 MM</v>
      </c>
      <c r="C2004">
        <v>121872</v>
      </c>
      <c r="D2004">
        <v>49198639</v>
      </c>
    </row>
    <row r="2005" spans="1:4" x14ac:dyDescent="0.25">
      <c r="A2005" t="str">
        <f>T("   720890")</f>
        <v xml:space="preserve">   720890</v>
      </c>
      <c r="B2005" t="str">
        <f>T("   AUTRES")</f>
        <v xml:space="preserve">   AUTRES</v>
      </c>
      <c r="C2005">
        <v>94625</v>
      </c>
      <c r="D2005">
        <v>34077520</v>
      </c>
    </row>
    <row r="2006" spans="1:4" x14ac:dyDescent="0.25">
      <c r="A2006" t="str">
        <f>T("   720916")</f>
        <v xml:space="preserve">   720916</v>
      </c>
      <c r="B2006" t="str">
        <f>T("   D'UNE EPAISSEUR EXCEDANT 1 MM MAIS INFERIEURE A 3 MM")</f>
        <v xml:space="preserve">   D'UNE EPAISSEUR EXCEDANT 1 MM MAIS INFERIEURE A 3 MM</v>
      </c>
      <c r="C2006">
        <v>140000</v>
      </c>
      <c r="D2006">
        <v>45880350</v>
      </c>
    </row>
    <row r="2007" spans="1:4" x14ac:dyDescent="0.25">
      <c r="A2007" t="str">
        <f>T("   720917")</f>
        <v xml:space="preserve">   720917</v>
      </c>
      <c r="B2007" t="str">
        <f>T("   D'UNE EPAISSEUR DE 0,5 MM OU PLUS MAIS N'EXCEDANT PAS 1 MM")</f>
        <v xml:space="preserve">   D'UNE EPAISSEUR DE 0,5 MM OU PLUS MAIS N'EXCEDANT PAS 1 MM</v>
      </c>
      <c r="C2007">
        <v>1172162</v>
      </c>
      <c r="D2007">
        <v>408868506</v>
      </c>
    </row>
    <row r="2008" spans="1:4" x14ac:dyDescent="0.25">
      <c r="A2008" t="str">
        <f>T("   720918")</f>
        <v xml:space="preserve">   720918</v>
      </c>
      <c r="B2008" t="str">
        <f>T("   D'UNE EPAISSEUR INFERIEURE A 0,5 MM")</f>
        <v xml:space="preserve">   D'UNE EPAISSEUR INFERIEURE A 0,5 MM</v>
      </c>
      <c r="C2008">
        <v>25000</v>
      </c>
      <c r="D2008">
        <v>10138654</v>
      </c>
    </row>
    <row r="2009" spans="1:4" x14ac:dyDescent="0.25">
      <c r="A2009" t="str">
        <f>T("   720926")</f>
        <v xml:space="preserve">   720926</v>
      </c>
      <c r="B2009" t="str">
        <f>T("   D'UNE EPAISSEUR EXCEDANT 1 MM MAIS INFERIEURE A 3 MM")</f>
        <v xml:space="preserve">   D'UNE EPAISSEUR EXCEDANT 1 MM MAIS INFERIEURE A 3 MM</v>
      </c>
      <c r="C2009">
        <v>19000</v>
      </c>
      <c r="D2009">
        <v>7220000</v>
      </c>
    </row>
    <row r="2010" spans="1:4" x14ac:dyDescent="0.25">
      <c r="A2010" t="str">
        <f>T("   720927")</f>
        <v xml:space="preserve">   720927</v>
      </c>
      <c r="B2010" t="str">
        <f>T("   D'UNE EPAISSEUR DE 0,5 MM OU PLUS MAIS N'EXCEDANT PAS 1 MM")</f>
        <v xml:space="preserve">   D'UNE EPAISSEUR DE 0,5 MM OU PLUS MAIS N'EXCEDANT PAS 1 MM</v>
      </c>
      <c r="C2010">
        <v>4320</v>
      </c>
      <c r="D2010">
        <v>1690841</v>
      </c>
    </row>
    <row r="2011" spans="1:4" x14ac:dyDescent="0.25">
      <c r="A2011" t="str">
        <f>T("   720990")</f>
        <v xml:space="preserve">   720990</v>
      </c>
      <c r="B2011" t="str">
        <f>T("   AUTRES")</f>
        <v xml:space="preserve">   AUTRES</v>
      </c>
      <c r="C2011">
        <v>315053</v>
      </c>
      <c r="D2011">
        <v>90603602</v>
      </c>
    </row>
    <row r="2012" spans="1:4" x14ac:dyDescent="0.25">
      <c r="A2012" t="str">
        <f>T("   721011")</f>
        <v xml:space="preserve">   721011</v>
      </c>
      <c r="B2012" t="str">
        <f>T("   D'UNE EPAISSEUR DE 0,5 MM OU PLUS")</f>
        <v xml:space="preserve">   D'UNE EPAISSEUR DE 0,5 MM OU PLUS</v>
      </c>
      <c r="C2012">
        <v>150000</v>
      </c>
      <c r="D2012">
        <v>59146323</v>
      </c>
    </row>
    <row r="2013" spans="1:4" x14ac:dyDescent="0.25">
      <c r="A2013" t="str">
        <f>T("   721391")</f>
        <v xml:space="preserve">   721391</v>
      </c>
      <c r="B2013" t="str">
        <f>T("   DE SECTION CIRCULAIRE D'UN DIAMETRE INFERIEUR A 14 MM")</f>
        <v xml:space="preserve">   DE SECTION CIRCULAIRE D'UN DIAMETRE INFERIEUR A 14 MM</v>
      </c>
      <c r="C2013">
        <v>17062381</v>
      </c>
      <c r="D2013">
        <v>4844417289</v>
      </c>
    </row>
    <row r="2014" spans="1:4" x14ac:dyDescent="0.25">
      <c r="A2014" t="str">
        <f>T("   721399")</f>
        <v xml:space="preserve">   721399</v>
      </c>
      <c r="B2014" t="str">
        <f>T("   AUTRES")</f>
        <v xml:space="preserve">   AUTRES</v>
      </c>
      <c r="C2014">
        <v>4921000</v>
      </c>
      <c r="D2014">
        <v>1621147382</v>
      </c>
    </row>
    <row r="2015" spans="1:4" x14ac:dyDescent="0.25">
      <c r="A2015" t="str">
        <f>T("   721420")</f>
        <v xml:space="preserve">   721420</v>
      </c>
      <c r="B2015" t="str">
        <f>T("   COMPORTANT DES INDENTATIONS, BOURRELETS, CREUX OU RELIEFS OBTENUS AU COURS DU LAMINAG")</f>
        <v xml:space="preserve">   COMPORTANT DES INDENTATIONS, BOURRELETS, CREUX OU RELIEFS OBTENUS AU COURS DU LAMINAG</v>
      </c>
      <c r="C2015">
        <v>20146630</v>
      </c>
      <c r="D2015">
        <v>6657647925</v>
      </c>
    </row>
    <row r="2016" spans="1:4" x14ac:dyDescent="0.25">
      <c r="A2016" t="str">
        <f>T("   721590")</f>
        <v xml:space="preserve">   721590</v>
      </c>
      <c r="B2016" t="str">
        <f>T("   AUTRES")</f>
        <v xml:space="preserve">   AUTRES</v>
      </c>
      <c r="C2016">
        <v>3323394</v>
      </c>
      <c r="D2016">
        <v>799912756</v>
      </c>
    </row>
    <row r="2017" spans="1:4" x14ac:dyDescent="0.25">
      <c r="A2017" t="str">
        <f>T("   721631")</f>
        <v xml:space="preserve">   721631</v>
      </c>
      <c r="B2017" t="str">
        <f>T("   PROFILES EN U")</f>
        <v xml:space="preserve">   PROFILES EN U</v>
      </c>
      <c r="C2017">
        <v>181000</v>
      </c>
      <c r="D2017">
        <v>82867982</v>
      </c>
    </row>
    <row r="2018" spans="1:4" x14ac:dyDescent="0.25">
      <c r="A2018" t="str">
        <f>T("   721632")</f>
        <v xml:space="preserve">   721632</v>
      </c>
      <c r="B2018" t="str">
        <f>T("   PROFILES EN I")</f>
        <v xml:space="preserve">   PROFILES EN I</v>
      </c>
      <c r="C2018">
        <v>100000</v>
      </c>
      <c r="D2018">
        <v>59380748</v>
      </c>
    </row>
    <row r="2019" spans="1:4" x14ac:dyDescent="0.25">
      <c r="A2019" t="str">
        <f>T("   721633")</f>
        <v xml:space="preserve">   721633</v>
      </c>
      <c r="B2019" t="str">
        <f>T("   PROFILES EN H")</f>
        <v xml:space="preserve">   PROFILES EN H</v>
      </c>
      <c r="C2019">
        <v>435000</v>
      </c>
      <c r="D2019">
        <v>205670222</v>
      </c>
    </row>
    <row r="2020" spans="1:4" x14ac:dyDescent="0.25">
      <c r="A2020" t="str">
        <f>T("   721661")</f>
        <v xml:space="preserve">   721661</v>
      </c>
      <c r="B2020" t="str">
        <f>T("   OBTENUS A PARTIR DE PRODUITS LAMINES PLATS")</f>
        <v xml:space="preserve">   OBTENUS A PARTIR DE PRODUITS LAMINES PLATS</v>
      </c>
      <c r="C2020">
        <v>85000</v>
      </c>
      <c r="D2020">
        <v>44803514</v>
      </c>
    </row>
    <row r="2021" spans="1:4" x14ac:dyDescent="0.25">
      <c r="A2021" t="str">
        <f>T("   721669")</f>
        <v xml:space="preserve">   721669</v>
      </c>
      <c r="B2021" t="str">
        <f>T("   AUTRES")</f>
        <v xml:space="preserve">   AUTRES</v>
      </c>
      <c r="C2021">
        <v>1008073</v>
      </c>
      <c r="D2021">
        <v>439030343</v>
      </c>
    </row>
    <row r="2022" spans="1:4" x14ac:dyDescent="0.25">
      <c r="A2022" t="str">
        <f>T("   721790")</f>
        <v xml:space="preserve">   721790</v>
      </c>
      <c r="B2022" t="str">
        <f>T("   AUTRES")</f>
        <v xml:space="preserve">   AUTRES</v>
      </c>
      <c r="C2022">
        <v>81500</v>
      </c>
      <c r="D2022">
        <v>59633000</v>
      </c>
    </row>
    <row r="2023" spans="1:4" x14ac:dyDescent="0.25">
      <c r="A2023" t="str">
        <f>T("   721990")</f>
        <v xml:space="preserve">   721990</v>
      </c>
      <c r="B2023" t="str">
        <f>T("   AUTRES")</f>
        <v xml:space="preserve">   AUTRES</v>
      </c>
      <c r="C2023">
        <v>73000</v>
      </c>
      <c r="D2023">
        <v>27534430</v>
      </c>
    </row>
    <row r="2024" spans="1:4" x14ac:dyDescent="0.25">
      <c r="A2024" t="str">
        <f>T("   730120")</f>
        <v xml:space="preserve">   730120</v>
      </c>
      <c r="B2024" t="str">
        <f>T("   PROFILES")</f>
        <v xml:space="preserve">   PROFILES</v>
      </c>
      <c r="C2024">
        <v>4625</v>
      </c>
      <c r="D2024">
        <v>1475844</v>
      </c>
    </row>
    <row r="2025" spans="1:4" x14ac:dyDescent="0.25">
      <c r="A2025" t="str">
        <f>T("   730411")</f>
        <v xml:space="preserve">   730411</v>
      </c>
      <c r="B2025" t="str">
        <f>T("   EN ACIERS INOXYDABLES")</f>
        <v xml:space="preserve">   EN ACIERS INOXYDABLES</v>
      </c>
      <c r="C2025">
        <v>986</v>
      </c>
      <c r="D2025">
        <v>17838852</v>
      </c>
    </row>
    <row r="2026" spans="1:4" x14ac:dyDescent="0.25">
      <c r="A2026" t="str">
        <f>T("   730422")</f>
        <v xml:space="preserve">   730422</v>
      </c>
      <c r="B2026" t="str">
        <f>T("   TIGES DE FORAGE EN ACIERS INOXYDABLES")</f>
        <v xml:space="preserve">   TIGES DE FORAGE EN ACIERS INOXYDABLES</v>
      </c>
      <c r="C2026">
        <v>35640</v>
      </c>
      <c r="D2026">
        <v>83680834</v>
      </c>
    </row>
    <row r="2027" spans="1:4" x14ac:dyDescent="0.25">
      <c r="A2027" t="str">
        <f>T("   730423")</f>
        <v xml:space="preserve">   730423</v>
      </c>
      <c r="B2027" t="str">
        <f>T("   AUTRES TIGES DE FORAGE")</f>
        <v xml:space="preserve">   AUTRES TIGES DE FORAGE</v>
      </c>
      <c r="C2027">
        <v>17752</v>
      </c>
      <c r="D2027">
        <v>79994967</v>
      </c>
    </row>
    <row r="2028" spans="1:4" x14ac:dyDescent="0.25">
      <c r="A2028" t="str">
        <f>T("   730429")</f>
        <v xml:space="preserve">   730429</v>
      </c>
      <c r="B2028" t="str">
        <f>T("   AUTRES")</f>
        <v xml:space="preserve">   AUTRES</v>
      </c>
      <c r="C2028">
        <v>13540</v>
      </c>
      <c r="D2028">
        <v>94896353</v>
      </c>
    </row>
    <row r="2029" spans="1:4" x14ac:dyDescent="0.25">
      <c r="A2029" t="str">
        <f>T("   730490")</f>
        <v xml:space="preserve">   730490</v>
      </c>
      <c r="B2029" t="str">
        <f>T("   AUTRES")</f>
        <v xml:space="preserve">   AUTRES</v>
      </c>
      <c r="C2029">
        <v>453152</v>
      </c>
      <c r="D2029">
        <v>1771710792</v>
      </c>
    </row>
    <row r="2030" spans="1:4" x14ac:dyDescent="0.25">
      <c r="A2030" t="str">
        <f>T("   730520")</f>
        <v xml:space="preserve">   730520</v>
      </c>
      <c r="B2030" t="str">
        <f>T("   TUBES ET TUYAUX DE CUVELAGE DES TYPES UTILISES POUR L'EXTRACTION DU PETROLE OU DU GAZ")</f>
        <v xml:space="preserve">   TUBES ET TUYAUX DE CUVELAGE DES TYPES UTILISES POUR L'EXTRACTION DU PETROLE OU DU GAZ</v>
      </c>
      <c r="C2030">
        <v>4546</v>
      </c>
      <c r="D2030">
        <v>42137437</v>
      </c>
    </row>
    <row r="2031" spans="1:4" x14ac:dyDescent="0.25">
      <c r="A2031" t="str">
        <f>T("   730629")</f>
        <v xml:space="preserve">   730629</v>
      </c>
      <c r="B2031" t="str">
        <f>T("   AUTRES")</f>
        <v xml:space="preserve">   AUTRES</v>
      </c>
      <c r="C2031">
        <v>48322</v>
      </c>
      <c r="D2031">
        <v>133755491</v>
      </c>
    </row>
    <row r="2032" spans="1:4" x14ac:dyDescent="0.25">
      <c r="A2032" t="str">
        <f>T("   730791")</f>
        <v xml:space="preserve">   730791</v>
      </c>
      <c r="B2032" t="str">
        <f>T("   BRIDES")</f>
        <v xml:space="preserve">   BRIDES</v>
      </c>
      <c r="C2032">
        <v>207</v>
      </c>
      <c r="D2032">
        <v>2312238</v>
      </c>
    </row>
    <row r="2033" spans="1:4" x14ac:dyDescent="0.25">
      <c r="A2033" t="str">
        <f>T("   730793")</f>
        <v xml:space="preserve">   730793</v>
      </c>
      <c r="B2033" t="str">
        <f>T("   ACCESSOIRES A SOUDER BOUT A BOUT")</f>
        <v xml:space="preserve">   ACCESSOIRES A SOUDER BOUT A BOUT</v>
      </c>
      <c r="C2033">
        <v>50</v>
      </c>
      <c r="D2033">
        <v>521794</v>
      </c>
    </row>
    <row r="2034" spans="1:4" x14ac:dyDescent="0.25">
      <c r="A2034" t="str">
        <f>T("   730799")</f>
        <v xml:space="preserve">   730799</v>
      </c>
      <c r="B2034" t="str">
        <f>T("   AUTRES")</f>
        <v xml:space="preserve">   AUTRES</v>
      </c>
      <c r="C2034">
        <v>10306.4</v>
      </c>
      <c r="D2034">
        <v>112627881</v>
      </c>
    </row>
    <row r="2035" spans="1:4" x14ac:dyDescent="0.25">
      <c r="A2035" t="str">
        <f>T("   730820")</f>
        <v xml:space="preserve">   730820</v>
      </c>
      <c r="B2035" t="str">
        <f>T("   TOURS ET PYLONES")</f>
        <v xml:space="preserve">   TOURS ET PYLONES</v>
      </c>
      <c r="C2035">
        <v>194250</v>
      </c>
      <c r="D2035">
        <v>141423498</v>
      </c>
    </row>
    <row r="2036" spans="1:4" x14ac:dyDescent="0.25">
      <c r="A2036" t="str">
        <f>T("   730840")</f>
        <v xml:space="preserve">   730840</v>
      </c>
      <c r="B2036" t="str">
        <f>T("   MATERIEL D'ECHAFAUDAGE, DE COFFRAGE, D'ETANCONNEMENT OU D'ETAYAGE")</f>
        <v xml:space="preserve">   MATERIEL D'ECHAFAUDAGE, DE COFFRAGE, D'ETANCONNEMENT OU D'ETAYAGE</v>
      </c>
      <c r="C2036">
        <v>163945</v>
      </c>
      <c r="D2036">
        <v>153876801</v>
      </c>
    </row>
    <row r="2037" spans="1:4" x14ac:dyDescent="0.25">
      <c r="A2037" t="str">
        <f>T("   730900")</f>
        <v xml:space="preserve">   730900</v>
      </c>
      <c r="B2037" t="str">
        <f>T("   RESERVOIRS, FOUDRES, CUVES ET RECIPIENTS SIMILAIRES POUR TOUTES MATIERES (A L'EXCEPTION")</f>
        <v xml:space="preserve">   RESERVOIRS, FOUDRES, CUVES ET RECIPIENTS SIMILAIRES POUR TOUTES MATIERES (A L'EXCEPTION</v>
      </c>
      <c r="C2037">
        <v>123887</v>
      </c>
      <c r="D2037">
        <v>553865885</v>
      </c>
    </row>
    <row r="2038" spans="1:4" x14ac:dyDescent="0.25">
      <c r="A2038" t="str">
        <f>T("   731010")</f>
        <v xml:space="preserve">   731010</v>
      </c>
      <c r="B2038" t="str">
        <f>T("   D'UNE CONTENANCE DE 50 L OU PLUS")</f>
        <v xml:space="preserve">   D'UNE CONTENANCE DE 50 L OU PLUS</v>
      </c>
      <c r="C2038">
        <v>22100</v>
      </c>
      <c r="D2038">
        <v>40955155</v>
      </c>
    </row>
    <row r="2039" spans="1:4" x14ac:dyDescent="0.25">
      <c r="A2039" t="str">
        <f>T("   731021")</f>
        <v xml:space="preserve">   731021</v>
      </c>
      <c r="B2039" t="str">
        <f>T("   BOITES A FERMER PAR SOUDAGE OU SERTISSAGE")</f>
        <v xml:space="preserve">   BOITES A FERMER PAR SOUDAGE OU SERTISSAGE</v>
      </c>
      <c r="C2039">
        <v>249016</v>
      </c>
      <c r="D2039">
        <v>111130508</v>
      </c>
    </row>
    <row r="2040" spans="1:4" x14ac:dyDescent="0.25">
      <c r="A2040" t="str">
        <f>T("   731029")</f>
        <v xml:space="preserve">   731029</v>
      </c>
      <c r="B2040" t="str">
        <f>T("   AUTRES")</f>
        <v xml:space="preserve">   AUTRES</v>
      </c>
      <c r="C2040">
        <v>836856</v>
      </c>
      <c r="D2040">
        <v>918260057</v>
      </c>
    </row>
    <row r="2041" spans="1:4" x14ac:dyDescent="0.25">
      <c r="A2041" t="str">
        <f>T("   731100")</f>
        <v xml:space="preserve">   731100</v>
      </c>
      <c r="B2041" t="str">
        <f>T("   RECIPIENTS POUR GAZ COMPRIMES OU LIQUEFIES, EN FONTE, FER OU ACIER.")</f>
        <v xml:space="preserve">   RECIPIENTS POUR GAZ COMPRIMES OU LIQUEFIES, EN FONTE, FER OU ACIER.</v>
      </c>
      <c r="C2041">
        <v>27426.2</v>
      </c>
      <c r="D2041">
        <v>273614271</v>
      </c>
    </row>
    <row r="2042" spans="1:4" x14ac:dyDescent="0.25">
      <c r="A2042" t="str">
        <f>T("   731210")</f>
        <v xml:space="preserve">   731210</v>
      </c>
      <c r="B2042" t="str">
        <f>T("   TORONS ET CABLES")</f>
        <v xml:space="preserve">   TORONS ET CABLES</v>
      </c>
      <c r="C2042">
        <v>6931</v>
      </c>
      <c r="D2042">
        <v>48227789</v>
      </c>
    </row>
    <row r="2043" spans="1:4" x14ac:dyDescent="0.25">
      <c r="A2043" t="str">
        <f>T("   731290")</f>
        <v xml:space="preserve">   731290</v>
      </c>
      <c r="B2043" t="str">
        <f>T("   AUTRES")</f>
        <v xml:space="preserve">   AUTRES</v>
      </c>
      <c r="C2043">
        <v>790</v>
      </c>
      <c r="D2043">
        <v>7403735</v>
      </c>
    </row>
    <row r="2044" spans="1:4" x14ac:dyDescent="0.25">
      <c r="A2044" t="str">
        <f>T("   731420")</f>
        <v xml:space="preserve">   731420</v>
      </c>
      <c r="B2044" t="str">
        <f>T("   GRILLAGES ET TREILLIS, SOUDES AUX POINTS DE RENCONTRE, EN FILS DONT LA PLUS GRANDE DI")</f>
        <v xml:space="preserve">   GRILLAGES ET TREILLIS, SOUDES AUX POINTS DE RENCONTRE, EN FILS DONT LA PLUS GRANDE DI</v>
      </c>
      <c r="C2044">
        <v>8250</v>
      </c>
      <c r="D2044">
        <v>27436838</v>
      </c>
    </row>
    <row r="2045" spans="1:4" x14ac:dyDescent="0.25">
      <c r="A2045" t="str">
        <f>T("   731600")</f>
        <v xml:space="preserve">   731600</v>
      </c>
      <c r="B2045" t="str">
        <f>T("   ANCRES, GRAPPINS ET LEURS PARTIES, EN FONTE, FER OU ACIER.")</f>
        <v xml:space="preserve">   ANCRES, GRAPPINS ET LEURS PARTIES, EN FONTE, FER OU ACIER.</v>
      </c>
      <c r="C2045">
        <v>3.4</v>
      </c>
      <c r="D2045">
        <v>563045</v>
      </c>
    </row>
    <row r="2046" spans="1:4" x14ac:dyDescent="0.25">
      <c r="A2046" t="str">
        <f>T("   731700")</f>
        <v xml:space="preserve">   731700</v>
      </c>
      <c r="B2046" t="str">
        <f>T("   POINTES, CLOUS, PUNAISES, CRAMPONS APPOINTES, AGRAFES ONDULEES OU BISEAUTEES ET ARTICLE")</f>
        <v xml:space="preserve">   POINTES, CLOUS, PUNAISES, CRAMPONS APPOINTES, AGRAFES ONDULEES OU BISEAUTEES ET ARTICLE</v>
      </c>
      <c r="C2046">
        <v>1233125</v>
      </c>
      <c r="D2046">
        <v>568265465</v>
      </c>
    </row>
    <row r="2047" spans="1:4" x14ac:dyDescent="0.25">
      <c r="A2047" t="str">
        <f>T("   731815")</f>
        <v xml:space="preserve">   731815</v>
      </c>
      <c r="B2047" t="str">
        <f>T("   AUTRES VIS ET BOULONS, MEME AVEC LEURS ECROUS OU RONDELLES")</f>
        <v xml:space="preserve">   AUTRES VIS ET BOULONS, MEME AVEC LEURS ECROUS OU RONDELLES</v>
      </c>
      <c r="C2047">
        <v>7329</v>
      </c>
      <c r="D2047">
        <v>323851047</v>
      </c>
    </row>
    <row r="2048" spans="1:4" x14ac:dyDescent="0.25">
      <c r="A2048" t="str">
        <f>T("   731829")</f>
        <v xml:space="preserve">   731829</v>
      </c>
      <c r="B2048" t="str">
        <f>T("   AUTRES")</f>
        <v xml:space="preserve">   AUTRES</v>
      </c>
      <c r="C2048">
        <v>476</v>
      </c>
      <c r="D2048">
        <v>9139877</v>
      </c>
    </row>
    <row r="2049" spans="1:4" x14ac:dyDescent="0.25">
      <c r="A2049" t="str">
        <f>T("   731930")</f>
        <v xml:space="preserve">   731930</v>
      </c>
      <c r="B2049" t="str">
        <f>T("   AUTRES EPINGLES, EN FER OU ACIER")</f>
        <v xml:space="preserve">   AUTRES EPINGLES, EN FER OU ACIER</v>
      </c>
      <c r="C2049">
        <v>12</v>
      </c>
      <c r="D2049">
        <v>183406</v>
      </c>
    </row>
    <row r="2050" spans="1:4" x14ac:dyDescent="0.25">
      <c r="A2050" t="str">
        <f>T("   732290")</f>
        <v xml:space="preserve">   732290</v>
      </c>
      <c r="B2050" t="str">
        <f>T("   AUTRES")</f>
        <v xml:space="preserve">   AUTRES</v>
      </c>
      <c r="C2050">
        <v>20000</v>
      </c>
      <c r="D2050">
        <v>1730000</v>
      </c>
    </row>
    <row r="2051" spans="1:4" x14ac:dyDescent="0.25">
      <c r="A2051" t="str">
        <f>T("   732394")</f>
        <v xml:space="preserve">   732394</v>
      </c>
      <c r="B2051" t="str">
        <f>T("   EN FER OU EN ACIER, EMAILLES")</f>
        <v xml:space="preserve">   EN FER OU EN ACIER, EMAILLES</v>
      </c>
      <c r="C2051">
        <v>19671</v>
      </c>
      <c r="D2051">
        <v>16212448</v>
      </c>
    </row>
    <row r="2052" spans="1:4" x14ac:dyDescent="0.25">
      <c r="A2052" t="str">
        <f>T("   732399")</f>
        <v xml:space="preserve">   732399</v>
      </c>
      <c r="B2052" t="str">
        <f>T("   AUTRES")</f>
        <v xml:space="preserve">   AUTRES</v>
      </c>
      <c r="C2052">
        <v>14200</v>
      </c>
      <c r="D2052">
        <v>25150000</v>
      </c>
    </row>
    <row r="2053" spans="1:4" x14ac:dyDescent="0.25">
      <c r="A2053" t="str">
        <f>T("   732619")</f>
        <v xml:space="preserve">   732619</v>
      </c>
      <c r="B2053" t="str">
        <f>T("   AUTRES")</f>
        <v xml:space="preserve">   AUTRES</v>
      </c>
      <c r="C2053">
        <v>41005</v>
      </c>
      <c r="D2053">
        <v>894880928</v>
      </c>
    </row>
    <row r="2054" spans="1:4" x14ac:dyDescent="0.25">
      <c r="A2054" t="str">
        <f>T("   732690")</f>
        <v xml:space="preserve">   732690</v>
      </c>
      <c r="B2054" t="str">
        <f>T("   AUTRES")</f>
        <v xml:space="preserve">   AUTRES</v>
      </c>
      <c r="C2054">
        <v>509673</v>
      </c>
      <c r="D2054">
        <v>2175059261</v>
      </c>
    </row>
    <row r="2055" spans="1:4" x14ac:dyDescent="0.25">
      <c r="A2055" t="str">
        <f>T("   741819")</f>
        <v xml:space="preserve">   741819</v>
      </c>
      <c r="B2055" t="str">
        <f>T("   AUTRES ARTICLES DE MENAGE OU D'ECONOMIE MIXTE EN CUIVRE")</f>
        <v xml:space="preserve">   AUTRES ARTICLES DE MENAGE OU D'ECONOMIE MIXTE EN CUIVRE</v>
      </c>
      <c r="C2055">
        <v>550</v>
      </c>
      <c r="D2055">
        <v>505440</v>
      </c>
    </row>
    <row r="2056" spans="1:4" x14ac:dyDescent="0.25">
      <c r="A2056" t="str">
        <f>T("   750890")</f>
        <v xml:space="preserve">   750890</v>
      </c>
      <c r="B2056" t="str">
        <f>T("   AUTRES")</f>
        <v xml:space="preserve">   AUTRES</v>
      </c>
      <c r="C2056">
        <v>27750</v>
      </c>
      <c r="D2056">
        <v>2196944690</v>
      </c>
    </row>
    <row r="2057" spans="1:4" x14ac:dyDescent="0.25">
      <c r="A2057" t="str">
        <f>T("   760200")</f>
        <v xml:space="preserve">   760200</v>
      </c>
      <c r="B2057" t="str">
        <f>T("   DECHETS ET DEBRIS D'ALUMINIUM.")</f>
        <v xml:space="preserve">   DECHETS ET DEBRIS D'ALUMINIUM.</v>
      </c>
      <c r="C2057">
        <v>2290000</v>
      </c>
      <c r="D2057">
        <v>114950000</v>
      </c>
    </row>
    <row r="2058" spans="1:4" x14ac:dyDescent="0.25">
      <c r="A2058" t="str">
        <f>T("   760410")</f>
        <v xml:space="preserve">   760410</v>
      </c>
      <c r="B2058" t="str">
        <f>T("   EN ALUMINIUM NON ALLIE")</f>
        <v xml:space="preserve">   EN ALUMINIUM NON ALLIE</v>
      </c>
      <c r="C2058">
        <v>2100</v>
      </c>
      <c r="D2058">
        <v>135000</v>
      </c>
    </row>
    <row r="2059" spans="1:4" x14ac:dyDescent="0.25">
      <c r="A2059" t="str">
        <f>T("   760429")</f>
        <v xml:space="preserve">   760429</v>
      </c>
      <c r="B2059" t="str">
        <f>T("   AUTRES")</f>
        <v xml:space="preserve">   AUTRES</v>
      </c>
      <c r="C2059">
        <v>3000</v>
      </c>
      <c r="D2059">
        <v>5700000</v>
      </c>
    </row>
    <row r="2060" spans="1:4" x14ac:dyDescent="0.25">
      <c r="A2060" t="str">
        <f>T("   761010")</f>
        <v xml:space="preserve">   761010</v>
      </c>
      <c r="B2060" t="str">
        <f>T("   PORTES, FENETRES ET LEURS CADRES, CHAMBRANLES ET SEUILS")</f>
        <v xml:space="preserve">   PORTES, FENETRES ET LEURS CADRES, CHAMBRANLES ET SEUILS</v>
      </c>
      <c r="C2060">
        <v>1500</v>
      </c>
      <c r="D2060">
        <v>825000</v>
      </c>
    </row>
    <row r="2061" spans="1:4" x14ac:dyDescent="0.25">
      <c r="A2061" t="str">
        <f>T("   761090")</f>
        <v xml:space="preserve">   761090</v>
      </c>
      <c r="B2061" t="str">
        <f>T("   AUTRES")</f>
        <v xml:space="preserve">   AUTRES</v>
      </c>
      <c r="C2061">
        <v>56934</v>
      </c>
      <c r="D2061">
        <v>17008634</v>
      </c>
    </row>
    <row r="2062" spans="1:4" x14ac:dyDescent="0.25">
      <c r="A2062" t="str">
        <f>T("   761490")</f>
        <v xml:space="preserve">   761490</v>
      </c>
      <c r="B2062" t="str">
        <f>T("   AUTRES")</f>
        <v xml:space="preserve">   AUTRES</v>
      </c>
      <c r="C2062">
        <v>2341</v>
      </c>
      <c r="D2062">
        <v>34912910</v>
      </c>
    </row>
    <row r="2063" spans="1:4" x14ac:dyDescent="0.25">
      <c r="A2063" t="str">
        <f>T("   761699")</f>
        <v xml:space="preserve">   761699</v>
      </c>
      <c r="B2063" t="str">
        <f>T("   AUTRES")</f>
        <v xml:space="preserve">   AUTRES</v>
      </c>
      <c r="C2063">
        <v>14</v>
      </c>
      <c r="D2063">
        <v>325461</v>
      </c>
    </row>
    <row r="2064" spans="1:4" x14ac:dyDescent="0.25">
      <c r="A2064" t="str">
        <f>T("   811229")</f>
        <v xml:space="preserve">   811229</v>
      </c>
      <c r="B2064" t="str">
        <f>T("   AUTRES")</f>
        <v xml:space="preserve">   AUTRES</v>
      </c>
      <c r="C2064">
        <v>610</v>
      </c>
      <c r="D2064">
        <v>2489480</v>
      </c>
    </row>
    <row r="2065" spans="1:4" x14ac:dyDescent="0.25">
      <c r="A2065" t="str">
        <f>T("   820411")</f>
        <v xml:space="preserve">   820411</v>
      </c>
      <c r="B2065" t="str">
        <f>T("   A OUVERTURE FIXE")</f>
        <v xml:space="preserve">   A OUVERTURE FIXE</v>
      </c>
      <c r="C2065">
        <v>27862</v>
      </c>
      <c r="D2065">
        <v>230338639</v>
      </c>
    </row>
    <row r="2066" spans="1:4" x14ac:dyDescent="0.25">
      <c r="A2066" t="str">
        <f>T("   820520")</f>
        <v xml:space="preserve">   820520</v>
      </c>
      <c r="B2066" t="str">
        <f>T("   MARTEAUX ET MASSES")</f>
        <v xml:space="preserve">   MARTEAUX ET MASSES</v>
      </c>
      <c r="C2066">
        <v>90</v>
      </c>
      <c r="D2066">
        <v>89621</v>
      </c>
    </row>
    <row r="2067" spans="1:4" x14ac:dyDescent="0.25">
      <c r="A2067" t="str">
        <f>T("   820559")</f>
        <v xml:space="preserve">   820559</v>
      </c>
      <c r="B2067" t="str">
        <f>T("   AUTRES")</f>
        <v xml:space="preserve">   AUTRES</v>
      </c>
      <c r="C2067">
        <v>6715.64</v>
      </c>
      <c r="D2067">
        <v>412129964</v>
      </c>
    </row>
    <row r="2068" spans="1:4" x14ac:dyDescent="0.25">
      <c r="A2068" t="str">
        <f>T("   820580")</f>
        <v xml:space="preserve">   820580</v>
      </c>
      <c r="B2068" t="str">
        <f>T("   ENCLUMES, FORGES PORTATIVES, MEULES AVEC BATIS, A MAIN OU A PEDALE")</f>
        <v xml:space="preserve">   ENCLUMES, FORGES PORTATIVES, MEULES AVEC BATIS, A MAIN OU A PEDALE</v>
      </c>
      <c r="C2068">
        <v>7741</v>
      </c>
      <c r="D2068">
        <v>37068357</v>
      </c>
    </row>
    <row r="2069" spans="1:4" x14ac:dyDescent="0.25">
      <c r="A2069" t="str">
        <f>T("   820590")</f>
        <v xml:space="preserve">   820590</v>
      </c>
      <c r="B2069" t="str">
        <f>T("   AUTRES, Y COMPRIS LES ASSORTIMENTS D'ARTICLES D'AU MOINS DEUX DES SOUSPOSITIONS DE L")</f>
        <v xml:space="preserve">   AUTRES, Y COMPRIS LES ASSORTIMENTS D'ARTICLES D'AU MOINS DEUX DES SOUSPOSITIONS DE L</v>
      </c>
      <c r="C2069">
        <v>26</v>
      </c>
      <c r="D2069">
        <v>1622758</v>
      </c>
    </row>
    <row r="2070" spans="1:4" x14ac:dyDescent="0.25">
      <c r="A2070" t="str">
        <f>T("   820719")</f>
        <v xml:space="preserve">   820719</v>
      </c>
      <c r="B2070" t="str">
        <f>T("   AUTRES, Y COMPRIS LES PARTIES")</f>
        <v xml:space="preserve">   AUTRES, Y COMPRIS LES PARTIES</v>
      </c>
      <c r="C2070">
        <v>7095.5</v>
      </c>
      <c r="D2070">
        <v>361094823</v>
      </c>
    </row>
    <row r="2071" spans="1:4" x14ac:dyDescent="0.25">
      <c r="A2071" t="str">
        <f>T("   820750")</f>
        <v xml:space="preserve">   820750</v>
      </c>
      <c r="B2071" t="str">
        <f>T("   OUTILS A PERCER")</f>
        <v xml:space="preserve">   OUTILS A PERCER</v>
      </c>
      <c r="C2071">
        <v>75944</v>
      </c>
      <c r="D2071">
        <v>728235137</v>
      </c>
    </row>
    <row r="2072" spans="1:4" x14ac:dyDescent="0.25">
      <c r="A2072" t="str">
        <f>T("   820760")</f>
        <v xml:space="preserve">   820760</v>
      </c>
      <c r="B2072" t="str">
        <f>T("   OUTILS A ALESER OU A BROCHER")</f>
        <v xml:space="preserve">   OUTILS A ALESER OU A BROCHER</v>
      </c>
      <c r="C2072">
        <v>322</v>
      </c>
      <c r="D2072">
        <v>13611782</v>
      </c>
    </row>
    <row r="2073" spans="1:4" x14ac:dyDescent="0.25">
      <c r="A2073" t="str">
        <f>T("   820790")</f>
        <v xml:space="preserve">   820790</v>
      </c>
      <c r="B2073" t="str">
        <f>T("   AUTRES OUTILS INTERCHANGEABLES")</f>
        <v xml:space="preserve">   AUTRES OUTILS INTERCHANGEABLES</v>
      </c>
      <c r="C2073">
        <v>120601</v>
      </c>
      <c r="D2073">
        <v>137159344</v>
      </c>
    </row>
    <row r="2074" spans="1:4" x14ac:dyDescent="0.25">
      <c r="A2074" t="str">
        <f>T("   830241")</f>
        <v xml:space="preserve">   830241</v>
      </c>
      <c r="B2074" t="str">
        <f>T("   POUR BATIMENTS")</f>
        <v xml:space="preserve">   POUR BATIMENTS</v>
      </c>
      <c r="C2074">
        <v>71319</v>
      </c>
      <c r="D2074">
        <v>23708333</v>
      </c>
    </row>
    <row r="2075" spans="1:4" x14ac:dyDescent="0.25">
      <c r="A2075" t="str">
        <f>T("   830400")</f>
        <v xml:space="preserve">   830400</v>
      </c>
      <c r="B2075" t="str">
        <f>T("   CLASSEURS, FICHIERS, BOITES DE CLASSEMENT, PORTECOPIES, PLUMIERS, PORTECACHETS ET MAT")</f>
        <v xml:space="preserve">   CLASSEURS, FICHIERS, BOITES DE CLASSEMENT, PORTECOPIES, PLUMIERS, PORTECACHETS ET MAT</v>
      </c>
      <c r="C2075">
        <v>2430</v>
      </c>
      <c r="D2075">
        <v>12574629</v>
      </c>
    </row>
    <row r="2076" spans="1:4" x14ac:dyDescent="0.25">
      <c r="A2076" t="str">
        <f>T("   830790")</f>
        <v xml:space="preserve">   830790</v>
      </c>
      <c r="B2076" t="str">
        <f>T("   EN AUTRES METAUX COMMUNS")</f>
        <v xml:space="preserve">   EN AUTRES METAUX COMMUNS</v>
      </c>
      <c r="C2076">
        <v>70</v>
      </c>
      <c r="D2076">
        <v>2567812</v>
      </c>
    </row>
    <row r="2077" spans="1:4" x14ac:dyDescent="0.25">
      <c r="A2077" t="str">
        <f>T("   840110")</f>
        <v xml:space="preserve">   840110</v>
      </c>
      <c r="B2077" t="str">
        <f>T("   REACTEURS NUCLEAIRES")</f>
        <v xml:space="preserve">   REACTEURS NUCLEAIRES</v>
      </c>
      <c r="C2077">
        <v>6800</v>
      </c>
      <c r="D2077">
        <v>1394109</v>
      </c>
    </row>
    <row r="2078" spans="1:4" x14ac:dyDescent="0.25">
      <c r="A2078" t="str">
        <f>T("   840790")</f>
        <v xml:space="preserve">   840790</v>
      </c>
      <c r="B2078" t="str">
        <f>T("   AUTRES MOTEURS")</f>
        <v xml:space="preserve">   AUTRES MOTEURS</v>
      </c>
      <c r="C2078">
        <v>17875</v>
      </c>
      <c r="D2078">
        <v>54792962</v>
      </c>
    </row>
    <row r="2079" spans="1:4" x14ac:dyDescent="0.25">
      <c r="A2079" t="str">
        <f>T("   840820")</f>
        <v xml:space="preserve">   840820</v>
      </c>
      <c r="B2079" t="str">
        <f>T("   MOTEURS DES TYPES UTILISES POUR LA PROPULSION DE VEHICULES DU CHAPITRE 87")</f>
        <v xml:space="preserve">   MOTEURS DES TYPES UTILISES POUR LA PROPULSION DE VEHICULES DU CHAPITRE 87</v>
      </c>
      <c r="C2079">
        <v>13100</v>
      </c>
      <c r="D2079">
        <v>1910000</v>
      </c>
    </row>
    <row r="2080" spans="1:4" x14ac:dyDescent="0.25">
      <c r="A2080" t="str">
        <f>T("   840890")</f>
        <v xml:space="preserve">   840890</v>
      </c>
      <c r="B2080" t="str">
        <f>T("   AUTRES MOTEURS")</f>
        <v xml:space="preserve">   AUTRES MOTEURS</v>
      </c>
      <c r="C2080">
        <v>2500</v>
      </c>
      <c r="D2080">
        <v>1050000</v>
      </c>
    </row>
    <row r="2081" spans="1:4" x14ac:dyDescent="0.25">
      <c r="A2081" t="str">
        <f>T("   840999")</f>
        <v xml:space="preserve">   840999</v>
      </c>
      <c r="B2081" t="str">
        <f>T("   AUTRES")</f>
        <v xml:space="preserve">   AUTRES</v>
      </c>
      <c r="C2081">
        <v>235.3</v>
      </c>
      <c r="D2081">
        <v>3346539</v>
      </c>
    </row>
    <row r="2082" spans="1:4" x14ac:dyDescent="0.25">
      <c r="A2082" t="str">
        <f>T("   841210")</f>
        <v xml:space="preserve">   841210</v>
      </c>
      <c r="B2082" t="str">
        <f>T("   Propulseurs a reaction autres que les turboreacteurs")</f>
        <v xml:space="preserve">   Propulseurs a reaction autres que les turboreacteurs</v>
      </c>
      <c r="C2082">
        <v>3682</v>
      </c>
      <c r="D2082">
        <v>17629790</v>
      </c>
    </row>
    <row r="2083" spans="1:4" x14ac:dyDescent="0.25">
      <c r="A2083" t="str">
        <f>T("   841221")</f>
        <v xml:space="preserve">   841221</v>
      </c>
      <c r="B2083" t="str">
        <f>T("   A MOUVEMENT RECTILIGNE (CYLINDRES)")</f>
        <v xml:space="preserve">   A MOUVEMENT RECTILIGNE (CYLINDRES)</v>
      </c>
      <c r="C2083">
        <v>2910</v>
      </c>
      <c r="D2083">
        <v>24902507</v>
      </c>
    </row>
    <row r="2084" spans="1:4" x14ac:dyDescent="0.25">
      <c r="A2084" t="str">
        <f>T("   841229")</f>
        <v xml:space="preserve">   841229</v>
      </c>
      <c r="B2084" t="str">
        <f>T("   AUTRES")</f>
        <v xml:space="preserve">   AUTRES</v>
      </c>
      <c r="C2084">
        <v>3681</v>
      </c>
      <c r="D2084">
        <v>9362128</v>
      </c>
    </row>
    <row r="2085" spans="1:4" x14ac:dyDescent="0.25">
      <c r="A2085" t="str">
        <f>T("   841231")</f>
        <v xml:space="preserve">   841231</v>
      </c>
      <c r="B2085" t="str">
        <f>T("   A MOUVEMENT RECTILIGNE (CYLINDRES)")</f>
        <v xml:space="preserve">   A MOUVEMENT RECTILIGNE (CYLINDRES)</v>
      </c>
      <c r="C2085">
        <v>19</v>
      </c>
      <c r="D2085">
        <v>164306</v>
      </c>
    </row>
    <row r="2086" spans="1:4" x14ac:dyDescent="0.25">
      <c r="A2086" t="str">
        <f>T("   841311")</f>
        <v xml:space="preserve">   841311</v>
      </c>
      <c r="B2086" t="str">
        <f>T("   POMPES POUR LA DISTRIBUTION DE CARBURANTS OU DE LUBRIFIANTS, DES TYPES UTILISES DANS")</f>
        <v xml:space="preserve">   POMPES POUR LA DISTRIBUTION DE CARBURANTS OU DE LUBRIFIANTS, DES TYPES UTILISES DANS</v>
      </c>
      <c r="C2086">
        <v>209</v>
      </c>
      <c r="D2086">
        <v>4448066</v>
      </c>
    </row>
    <row r="2087" spans="1:4" x14ac:dyDescent="0.25">
      <c r="A2087" t="str">
        <f>T("   841319")</f>
        <v xml:space="preserve">   841319</v>
      </c>
      <c r="B2087" t="str">
        <f>T("   AUTRES")</f>
        <v xml:space="preserve">   AUTRES</v>
      </c>
      <c r="C2087">
        <v>1.7</v>
      </c>
      <c r="D2087">
        <v>1167910</v>
      </c>
    </row>
    <row r="2088" spans="1:4" x14ac:dyDescent="0.25">
      <c r="A2088" t="str">
        <f>T("   841330")</f>
        <v xml:space="preserve">   841330</v>
      </c>
      <c r="B2088" t="str">
        <f>T("   POMPES A CARBURANT, A HUILE OU A LIQUIDE DE REFROIDISSEMENT POUR MOTEURS A ALLUMAGE P")</f>
        <v xml:space="preserve">   POMPES A CARBURANT, A HUILE OU A LIQUIDE DE REFROIDISSEMENT POUR MOTEURS A ALLUMAGE P</v>
      </c>
      <c r="C2088">
        <v>118</v>
      </c>
      <c r="D2088">
        <v>243709624</v>
      </c>
    </row>
    <row r="2089" spans="1:4" x14ac:dyDescent="0.25">
      <c r="A2089" t="str">
        <f>T("   841350")</f>
        <v xml:space="preserve">   841350</v>
      </c>
      <c r="B2089" t="str">
        <f>T("   Autres pompes volumetriques alternatives")</f>
        <v xml:space="preserve">   Autres pompes volumetriques alternatives</v>
      </c>
      <c r="C2089">
        <v>2516.63</v>
      </c>
      <c r="D2089">
        <v>40912633</v>
      </c>
    </row>
    <row r="2090" spans="1:4" x14ac:dyDescent="0.25">
      <c r="A2090" t="str">
        <f>T("   841360")</f>
        <v xml:space="preserve">   841360</v>
      </c>
      <c r="B2090" t="str">
        <f>T("   Autres pompes volumetriques rotatives")</f>
        <v xml:space="preserve">   Autres pompes volumetriques rotatives</v>
      </c>
      <c r="C2090">
        <v>904</v>
      </c>
      <c r="D2090">
        <v>15471061</v>
      </c>
    </row>
    <row r="2091" spans="1:4" x14ac:dyDescent="0.25">
      <c r="A2091" t="str">
        <f>T("   841370")</f>
        <v xml:space="preserve">   841370</v>
      </c>
      <c r="B2091" t="str">
        <f>T("   Autres pompes centrifuges")</f>
        <v xml:space="preserve">   Autres pompes centrifuges</v>
      </c>
      <c r="C2091">
        <v>5050</v>
      </c>
      <c r="D2091">
        <v>68095850</v>
      </c>
    </row>
    <row r="2092" spans="1:4" x14ac:dyDescent="0.25">
      <c r="A2092" t="str">
        <f>T("   841381")</f>
        <v xml:space="preserve">   841381</v>
      </c>
      <c r="B2092" t="str">
        <f>T("   POMPES")</f>
        <v xml:space="preserve">   POMPES</v>
      </c>
      <c r="C2092">
        <v>56498</v>
      </c>
      <c r="D2092">
        <v>399994273</v>
      </c>
    </row>
    <row r="2093" spans="1:4" x14ac:dyDescent="0.25">
      <c r="A2093" t="str">
        <f>T("   841382")</f>
        <v xml:space="preserve">   841382</v>
      </c>
      <c r="B2093" t="str">
        <f>T("   ELEVATEURS A LIQUIDES")</f>
        <v xml:space="preserve">   ELEVATEURS A LIQUIDES</v>
      </c>
      <c r="C2093">
        <v>100</v>
      </c>
      <c r="D2093">
        <v>1095371</v>
      </c>
    </row>
    <row r="2094" spans="1:4" x14ac:dyDescent="0.25">
      <c r="A2094" t="str">
        <f>T("   841391")</f>
        <v xml:space="preserve">   841391</v>
      </c>
      <c r="B2094" t="str">
        <f>T("   DE POMPES")</f>
        <v xml:space="preserve">   DE POMPES</v>
      </c>
      <c r="C2094">
        <v>2</v>
      </c>
      <c r="D2094">
        <v>1144269</v>
      </c>
    </row>
    <row r="2095" spans="1:4" x14ac:dyDescent="0.25">
      <c r="A2095" t="str">
        <f>T("   841420")</f>
        <v xml:space="preserve">   841420</v>
      </c>
      <c r="B2095" t="str">
        <f>T("   POMPES A AIR, A MAIN OU A PIED")</f>
        <v xml:space="preserve">   POMPES A AIR, A MAIN OU A PIED</v>
      </c>
      <c r="C2095">
        <v>100</v>
      </c>
      <c r="D2095">
        <v>909642</v>
      </c>
    </row>
    <row r="2096" spans="1:4" x14ac:dyDescent="0.25">
      <c r="A2096" t="str">
        <f>T("   841430")</f>
        <v xml:space="preserve">   841430</v>
      </c>
      <c r="B2096" t="str">
        <f>T("   COMPRESSEURS DES TYPES UTILISES DANS LES EQUIPEMENTS FRIGORIFIQUES")</f>
        <v xml:space="preserve">   COMPRESSEURS DES TYPES UTILISES DANS LES EQUIPEMENTS FRIGORIFIQUES</v>
      </c>
      <c r="C2096">
        <v>14760</v>
      </c>
      <c r="D2096">
        <v>127418059</v>
      </c>
    </row>
    <row r="2097" spans="1:4" x14ac:dyDescent="0.25">
      <c r="A2097" t="str">
        <f>T("   841440")</f>
        <v xml:space="preserve">   841440</v>
      </c>
      <c r="B2097" t="str">
        <f>T("   COMPRESSEURS D'AIR MONTES SUR CHASSIS A ROUES ET REMORQUABLES")</f>
        <v xml:space="preserve">   COMPRESSEURS D'AIR MONTES SUR CHASSIS A ROUES ET REMORQUABLES</v>
      </c>
      <c r="C2097">
        <v>21957</v>
      </c>
      <c r="D2097">
        <v>43069479</v>
      </c>
    </row>
    <row r="2098" spans="1:4" x14ac:dyDescent="0.25">
      <c r="A2098" t="str">
        <f>T("   841459")</f>
        <v xml:space="preserve">   841459</v>
      </c>
      <c r="B2098" t="str">
        <f>T("   AUTRES")</f>
        <v xml:space="preserve">   AUTRES</v>
      </c>
      <c r="C2098">
        <v>3662</v>
      </c>
      <c r="D2098">
        <v>3786770</v>
      </c>
    </row>
    <row r="2099" spans="1:4" x14ac:dyDescent="0.25">
      <c r="A2099" t="str">
        <f>T("   841480")</f>
        <v xml:space="preserve">   841480</v>
      </c>
      <c r="B2099" t="str">
        <f>T("   AUTRES")</f>
        <v xml:space="preserve">   AUTRES</v>
      </c>
      <c r="C2099">
        <v>11459</v>
      </c>
      <c r="D2099">
        <v>92515246</v>
      </c>
    </row>
    <row r="2100" spans="1:4" x14ac:dyDescent="0.25">
      <c r="A2100" t="str">
        <f>T("   841490")</f>
        <v xml:space="preserve">   841490</v>
      </c>
      <c r="B2100" t="str">
        <f>T("   PARTIES")</f>
        <v xml:space="preserve">   PARTIES</v>
      </c>
      <c r="C2100">
        <v>35144.1</v>
      </c>
      <c r="D2100">
        <v>47139588</v>
      </c>
    </row>
    <row r="2101" spans="1:4" x14ac:dyDescent="0.25">
      <c r="A2101" t="str">
        <f>T("   841582")</f>
        <v xml:space="preserve">   841582</v>
      </c>
      <c r="B2101" t="str">
        <f>T("   AUTRES, AVEC DISPOSITIF DE REFRIGERATION")</f>
        <v xml:space="preserve">   AUTRES, AVEC DISPOSITIF DE REFRIGERATION</v>
      </c>
      <c r="C2101">
        <v>842</v>
      </c>
      <c r="D2101">
        <v>7494168</v>
      </c>
    </row>
    <row r="2102" spans="1:4" x14ac:dyDescent="0.25">
      <c r="A2102" t="str">
        <f>T("   841829")</f>
        <v xml:space="preserve">   841829</v>
      </c>
      <c r="B2102" t="str">
        <f>T("   AUTRES")</f>
        <v xml:space="preserve">   AUTRES</v>
      </c>
      <c r="C2102">
        <v>36054</v>
      </c>
      <c r="D2102">
        <v>86547760</v>
      </c>
    </row>
    <row r="2103" spans="1:4" x14ac:dyDescent="0.25">
      <c r="A2103" t="str">
        <f>T("   841861")</f>
        <v xml:space="preserve">   841861</v>
      </c>
      <c r="B2103" t="str">
        <f>T("   POMPES A CHALEUR AUTRES QUE LES MACHINES ET APPAREILS POUR LE CONDITIONNEMENT DE L'A")</f>
        <v xml:space="preserve">   POMPES A CHALEUR AUTRES QUE LES MACHINES ET APPAREILS POUR LE CONDITIONNEMENT DE L'A</v>
      </c>
      <c r="C2103">
        <v>2210</v>
      </c>
      <c r="D2103">
        <v>1311920</v>
      </c>
    </row>
    <row r="2104" spans="1:4" x14ac:dyDescent="0.25">
      <c r="A2104" t="str">
        <f>T("   841989")</f>
        <v xml:space="preserve">   841989</v>
      </c>
      <c r="B2104" t="str">
        <f>T("   AUTRES")</f>
        <v xml:space="preserve">   AUTRES</v>
      </c>
      <c r="C2104">
        <v>3749</v>
      </c>
      <c r="D2104">
        <v>125489708</v>
      </c>
    </row>
    <row r="2105" spans="1:4" x14ac:dyDescent="0.25">
      <c r="A2105" t="str">
        <f>T("   842119")</f>
        <v xml:space="preserve">   842119</v>
      </c>
      <c r="B2105" t="str">
        <f>T("   AUTRES")</f>
        <v xml:space="preserve">   AUTRES</v>
      </c>
      <c r="C2105">
        <v>7362.64</v>
      </c>
      <c r="D2105">
        <v>54219809</v>
      </c>
    </row>
    <row r="2106" spans="1:4" x14ac:dyDescent="0.25">
      <c r="A2106" t="str">
        <f>T("   842121")</f>
        <v xml:space="preserve">   842121</v>
      </c>
      <c r="B2106" t="str">
        <f>T("   POUR LA FILTRATION OU L'EPURATION DES EAUX")</f>
        <v xml:space="preserve">   POUR LA FILTRATION OU L'EPURATION DES EAUX</v>
      </c>
      <c r="C2106">
        <v>158814</v>
      </c>
      <c r="D2106">
        <v>1208863681</v>
      </c>
    </row>
    <row r="2107" spans="1:4" x14ac:dyDescent="0.25">
      <c r="A2107" t="str">
        <f>T("   842123")</f>
        <v xml:space="preserve">   842123</v>
      </c>
      <c r="B2107" t="str">
        <f>T("   POUR LA FILTRATION DES HUILES MINERALES DANS LES MOTEURS A ALLUMAGE PAR ETINCELLES O")</f>
        <v xml:space="preserve">   POUR LA FILTRATION DES HUILES MINERALES DANS LES MOTEURS A ALLUMAGE PAR ETINCELLES O</v>
      </c>
      <c r="C2107">
        <v>152</v>
      </c>
      <c r="D2107">
        <v>5330598</v>
      </c>
    </row>
    <row r="2108" spans="1:4" x14ac:dyDescent="0.25">
      <c r="A2108" t="str">
        <f>T("   842129")</f>
        <v xml:space="preserve">   842129</v>
      </c>
      <c r="B2108" t="str">
        <f>T("   AUTRES")</f>
        <v xml:space="preserve">   AUTRES</v>
      </c>
      <c r="C2108">
        <v>235</v>
      </c>
      <c r="D2108">
        <v>10644448</v>
      </c>
    </row>
    <row r="2109" spans="1:4" x14ac:dyDescent="0.25">
      <c r="A2109" t="str">
        <f>T("   842131")</f>
        <v xml:space="preserve">   842131</v>
      </c>
      <c r="B2109" t="str">
        <f>T("   FILTRES D'ENTREE D'AIR POUR MOTEURS A ALLUMAGE PAR ETINCELLES OU PAR COMPRESSION")</f>
        <v xml:space="preserve">   FILTRES D'ENTREE D'AIR POUR MOTEURS A ALLUMAGE PAR ETINCELLES OU PAR COMPRESSION</v>
      </c>
      <c r="C2109">
        <v>43</v>
      </c>
      <c r="D2109">
        <v>866573</v>
      </c>
    </row>
    <row r="2110" spans="1:4" x14ac:dyDescent="0.25">
      <c r="A2110" t="str">
        <f>T("   842139")</f>
        <v xml:space="preserve">   842139</v>
      </c>
      <c r="B2110" t="str">
        <f>T("   AUTRES")</f>
        <v xml:space="preserve">   AUTRES</v>
      </c>
      <c r="C2110">
        <v>261</v>
      </c>
      <c r="D2110">
        <v>32626645</v>
      </c>
    </row>
    <row r="2111" spans="1:4" x14ac:dyDescent="0.25">
      <c r="A2111" t="str">
        <f>T("   842199")</f>
        <v xml:space="preserve">   842199</v>
      </c>
      <c r="B2111" t="str">
        <f>T("   AUTRES")</f>
        <v xml:space="preserve">   AUTRES</v>
      </c>
      <c r="C2111">
        <v>5904</v>
      </c>
      <c r="D2111">
        <v>43110372</v>
      </c>
    </row>
    <row r="2112" spans="1:4" x14ac:dyDescent="0.25">
      <c r="A2112" t="str">
        <f>T("   842230")</f>
        <v xml:space="preserve">   842230</v>
      </c>
      <c r="B2112" t="str">
        <f>T("   MACHINES ET APPAREILS A REMPLIR, FERMER, BOUCHER OU ETIQUETER LES BOUTEILLES, BOITES,")</f>
        <v xml:space="preserve">   MACHINES ET APPAREILS A REMPLIR, FERMER, BOUCHER OU ETIQUETER LES BOUTEILLES, BOITES,</v>
      </c>
      <c r="C2112">
        <v>16755</v>
      </c>
      <c r="D2112">
        <v>7000000</v>
      </c>
    </row>
    <row r="2113" spans="1:4" x14ac:dyDescent="0.25">
      <c r="A2113" t="str">
        <f>T("   842382")</f>
        <v xml:space="preserve">   842382</v>
      </c>
      <c r="B2113" t="str">
        <f>T("   D'UNE PORTEE EXCEDANT 30 KG MAIS N'EXCEDANT PAS 5.000 KG")</f>
        <v xml:space="preserve">   D'UNE PORTEE EXCEDANT 30 KG MAIS N'EXCEDANT PAS 5.000 KG</v>
      </c>
      <c r="C2113">
        <v>11000</v>
      </c>
      <c r="D2113">
        <v>7219492</v>
      </c>
    </row>
    <row r="2114" spans="1:4" x14ac:dyDescent="0.25">
      <c r="A2114" t="str">
        <f>T("   842389")</f>
        <v xml:space="preserve">   842389</v>
      </c>
      <c r="B2114" t="str">
        <f>T("   AUTRES")</f>
        <v xml:space="preserve">   AUTRES</v>
      </c>
      <c r="C2114">
        <v>12363</v>
      </c>
      <c r="D2114">
        <v>26569761</v>
      </c>
    </row>
    <row r="2115" spans="1:4" x14ac:dyDescent="0.25">
      <c r="A2115" t="str">
        <f>T("   842390")</f>
        <v xml:space="preserve">   842390</v>
      </c>
      <c r="B2115" t="str">
        <f>T("   POIDS POUR TOUTES BALANCES; PARTIES D'APPAREILS OU INSTRUMENTS DE PESAGE")</f>
        <v xml:space="preserve">   POIDS POUR TOUTES BALANCES; PARTIES D'APPAREILS OU INSTRUMENTS DE PESAGE</v>
      </c>
      <c r="C2115">
        <v>17040</v>
      </c>
      <c r="D2115">
        <v>18564015</v>
      </c>
    </row>
    <row r="2116" spans="1:4" x14ac:dyDescent="0.25">
      <c r="A2116" t="str">
        <f>T("   842410")</f>
        <v xml:space="preserve">   842410</v>
      </c>
      <c r="B2116" t="str">
        <f>T("   EXTINCTEURS, MEME CHARGES")</f>
        <v xml:space="preserve">   EXTINCTEURS, MEME CHARGES</v>
      </c>
      <c r="C2116">
        <v>18</v>
      </c>
      <c r="D2116">
        <v>8593465</v>
      </c>
    </row>
    <row r="2117" spans="1:4" x14ac:dyDescent="0.25">
      <c r="A2117" t="str">
        <f>T("   842420")</f>
        <v xml:space="preserve">   842420</v>
      </c>
      <c r="B2117" t="str">
        <f>T("   Pistolets aerographes et appareils similaires")</f>
        <v xml:space="preserve">   Pistolets aerographes et appareils similaires</v>
      </c>
      <c r="C2117">
        <v>27</v>
      </c>
      <c r="D2117">
        <v>284797</v>
      </c>
    </row>
    <row r="2118" spans="1:4" x14ac:dyDescent="0.25">
      <c r="A2118" t="str">
        <f>T("   842430")</f>
        <v xml:space="preserve">   842430</v>
      </c>
      <c r="B2118" t="str">
        <f>T("   MACHINES ET APPAREILS A JET DE SABLE, A JET DE VAPEUR ET APPAREILS A JET SIMILAIRES")</f>
        <v xml:space="preserve">   MACHINES ET APPAREILS A JET DE SABLE, A JET DE VAPEUR ET APPAREILS A JET SIMILAIRES</v>
      </c>
      <c r="C2118">
        <v>33734</v>
      </c>
      <c r="D2118">
        <v>142493060</v>
      </c>
    </row>
    <row r="2119" spans="1:4" x14ac:dyDescent="0.25">
      <c r="A2119" t="str">
        <f>T("   842481")</f>
        <v xml:space="preserve">   842481</v>
      </c>
      <c r="B2119" t="str">
        <f>T("   POUR L'AGRICULTURE OU L'HORTICULTURE")</f>
        <v xml:space="preserve">   POUR L'AGRICULTURE OU L'HORTICULTURE</v>
      </c>
      <c r="C2119">
        <v>75</v>
      </c>
      <c r="D2119">
        <v>35985931</v>
      </c>
    </row>
    <row r="2120" spans="1:4" x14ac:dyDescent="0.25">
      <c r="A2120" t="str">
        <f>T("   842489")</f>
        <v xml:space="preserve">   842489</v>
      </c>
      <c r="B2120" t="str">
        <f>T("   AUTRES")</f>
        <v xml:space="preserve">   AUTRES</v>
      </c>
      <c r="C2120">
        <v>8</v>
      </c>
      <c r="D2120">
        <v>676451</v>
      </c>
    </row>
    <row r="2121" spans="1:4" x14ac:dyDescent="0.25">
      <c r="A2121" t="str">
        <f>T("   842490")</f>
        <v xml:space="preserve">   842490</v>
      </c>
      <c r="B2121" t="str">
        <f>T("   PARTIES")</f>
        <v xml:space="preserve">   PARTIES</v>
      </c>
      <c r="C2121">
        <v>455</v>
      </c>
      <c r="D2121">
        <v>149710531</v>
      </c>
    </row>
    <row r="2122" spans="1:4" x14ac:dyDescent="0.25">
      <c r="A2122" t="str">
        <f>T("   842511")</f>
        <v xml:space="preserve">   842511</v>
      </c>
      <c r="B2122" t="str">
        <f>T("   A MOTEUR ELECTRIQUE")</f>
        <v xml:space="preserve">   A MOTEUR ELECTRIQUE</v>
      </c>
      <c r="C2122">
        <v>783</v>
      </c>
      <c r="D2122">
        <v>34112844</v>
      </c>
    </row>
    <row r="2123" spans="1:4" x14ac:dyDescent="0.25">
      <c r="A2123" t="str">
        <f>T("   842539")</f>
        <v xml:space="preserve">   842539</v>
      </c>
      <c r="B2123" t="str">
        <f>T("   AUTRES")</f>
        <v xml:space="preserve">   AUTRES</v>
      </c>
      <c r="C2123">
        <v>37671</v>
      </c>
      <c r="D2123">
        <v>383527297</v>
      </c>
    </row>
    <row r="2124" spans="1:4" x14ac:dyDescent="0.25">
      <c r="A2124" t="str">
        <f>T("   842542")</f>
        <v xml:space="preserve">   842542</v>
      </c>
      <c r="B2124" t="str">
        <f>T("   AUTRES CRICS ET VERINS, HYDRAULIQUES")</f>
        <v xml:space="preserve">   AUTRES CRICS ET VERINS, HYDRAULIQUES</v>
      </c>
      <c r="C2124">
        <v>460</v>
      </c>
      <c r="D2124">
        <v>1782539</v>
      </c>
    </row>
    <row r="2125" spans="1:4" x14ac:dyDescent="0.25">
      <c r="A2125" t="str">
        <f>T("   842549")</f>
        <v xml:space="preserve">   842549</v>
      </c>
      <c r="B2125" t="str">
        <f>T("   AUTRES")</f>
        <v xml:space="preserve">   AUTRES</v>
      </c>
      <c r="C2125">
        <v>40231</v>
      </c>
      <c r="D2125">
        <v>121213266</v>
      </c>
    </row>
    <row r="2126" spans="1:4" x14ac:dyDescent="0.25">
      <c r="A2126" t="str">
        <f>T("   842611")</f>
        <v xml:space="preserve">   842611</v>
      </c>
      <c r="B2126" t="str">
        <f>T("   PONTS ROULANTS ET POUTRES ROULANTES, SUR SUPPORTS FIXES")</f>
        <v xml:space="preserve">   PONTS ROULANTS ET POUTRES ROULANTES, SUR SUPPORTS FIXES</v>
      </c>
      <c r="C2126">
        <v>8275</v>
      </c>
      <c r="D2126">
        <v>43436636</v>
      </c>
    </row>
    <row r="2127" spans="1:4" x14ac:dyDescent="0.25">
      <c r="A2127" t="str">
        <f>T("   842620")</f>
        <v xml:space="preserve">   842620</v>
      </c>
      <c r="B2127" t="str">
        <f>T("   Grues a tour")</f>
        <v xml:space="preserve">   Grues a tour</v>
      </c>
      <c r="C2127">
        <v>792879</v>
      </c>
      <c r="D2127">
        <v>1891586836</v>
      </c>
    </row>
    <row r="2128" spans="1:4" x14ac:dyDescent="0.25">
      <c r="A2128" t="str">
        <f>T("   842630")</f>
        <v xml:space="preserve">   842630</v>
      </c>
      <c r="B2128" t="str">
        <f>T("   GRUES SUR PORTIQUES")</f>
        <v xml:space="preserve">   GRUES SUR PORTIQUES</v>
      </c>
      <c r="C2128">
        <v>74440</v>
      </c>
      <c r="D2128">
        <v>216360587</v>
      </c>
    </row>
    <row r="2129" spans="1:4" x14ac:dyDescent="0.25">
      <c r="A2129" t="str">
        <f>T("   842641")</f>
        <v xml:space="preserve">   842641</v>
      </c>
      <c r="B2129" t="str">
        <f>T("   SUR PNEUMATIQUES")</f>
        <v xml:space="preserve">   SUR PNEUMATIQUES</v>
      </c>
      <c r="C2129">
        <v>45182</v>
      </c>
      <c r="D2129">
        <v>221973699</v>
      </c>
    </row>
    <row r="2130" spans="1:4" x14ac:dyDescent="0.25">
      <c r="A2130" t="str">
        <f>T("   842649")</f>
        <v xml:space="preserve">   842649</v>
      </c>
      <c r="B2130" t="str">
        <f>T("   AUTRES")</f>
        <v xml:space="preserve">   AUTRES</v>
      </c>
      <c r="C2130">
        <v>185800</v>
      </c>
      <c r="D2130">
        <v>371774348</v>
      </c>
    </row>
    <row r="2131" spans="1:4" x14ac:dyDescent="0.25">
      <c r="A2131" t="str">
        <f>T("   842710")</f>
        <v xml:space="preserve">   842710</v>
      </c>
      <c r="B2131" t="str">
        <f>T("   CHARIOTS AUTOPROPULSES A MOTEUR ELECTRIQUE")</f>
        <v xml:space="preserve">   CHARIOTS AUTOPROPULSES A MOTEUR ELECTRIQUE</v>
      </c>
      <c r="C2131">
        <v>995</v>
      </c>
      <c r="D2131">
        <v>6273490</v>
      </c>
    </row>
    <row r="2132" spans="1:4" x14ac:dyDescent="0.25">
      <c r="A2132" t="str">
        <f>T("   842720")</f>
        <v xml:space="preserve">   842720</v>
      </c>
      <c r="B2132" t="str">
        <f>T("   AUTRES CHARIOTS AUTOPROPULSES")</f>
        <v xml:space="preserve">   AUTRES CHARIOTS AUTOPROPULSES</v>
      </c>
      <c r="C2132">
        <v>17854</v>
      </c>
      <c r="D2132">
        <v>17199500</v>
      </c>
    </row>
    <row r="2133" spans="1:4" x14ac:dyDescent="0.25">
      <c r="A2133" t="str">
        <f>T("   842790")</f>
        <v xml:space="preserve">   842790</v>
      </c>
      <c r="B2133" t="str">
        <f>T("   AUTRES CHARIOTS")</f>
        <v xml:space="preserve">   AUTRES CHARIOTS</v>
      </c>
      <c r="C2133">
        <v>43540</v>
      </c>
      <c r="D2133">
        <v>122150311</v>
      </c>
    </row>
    <row r="2134" spans="1:4" x14ac:dyDescent="0.25">
      <c r="A2134" t="str">
        <f>T("   842839")</f>
        <v xml:space="preserve">   842839</v>
      </c>
      <c r="B2134" t="str">
        <f>T("   AUTRES")</f>
        <v xml:space="preserve">   AUTRES</v>
      </c>
      <c r="C2134">
        <v>124908</v>
      </c>
      <c r="D2134">
        <v>354904041</v>
      </c>
    </row>
    <row r="2135" spans="1:4" x14ac:dyDescent="0.25">
      <c r="A2135" t="str">
        <f>T("   842860")</f>
        <v xml:space="preserve">   842860</v>
      </c>
      <c r="B2135" t="str">
        <f>T("   TELEPHERIQUES (Y COMPRIS LES TELESIEGES ET REMONTEPENTES); MECANISMES DE TRACTION PO")</f>
        <v xml:space="preserve">   TELEPHERIQUES (Y COMPRIS LES TELESIEGES ET REMONTEPENTES); MECANISMES DE TRACTION PO</v>
      </c>
      <c r="C2135">
        <v>1350</v>
      </c>
      <c r="D2135">
        <v>83806505</v>
      </c>
    </row>
    <row r="2136" spans="1:4" x14ac:dyDescent="0.25">
      <c r="A2136" t="str">
        <f>T("   842890")</f>
        <v xml:space="preserve">   842890</v>
      </c>
      <c r="B2136" t="str">
        <f>T("   AUTRES MACHINES ET APPAREILS")</f>
        <v xml:space="preserve">   AUTRES MACHINES ET APPAREILS</v>
      </c>
      <c r="C2136">
        <v>19976</v>
      </c>
      <c r="D2136">
        <v>168598539</v>
      </c>
    </row>
    <row r="2137" spans="1:4" x14ac:dyDescent="0.25">
      <c r="A2137" t="str">
        <f>T("   842911")</f>
        <v xml:space="preserve">   842911</v>
      </c>
      <c r="B2137" t="str">
        <f>T("   A CHENILLES")</f>
        <v xml:space="preserve">   A CHENILLES</v>
      </c>
      <c r="C2137">
        <v>37873</v>
      </c>
      <c r="D2137">
        <v>9949400</v>
      </c>
    </row>
    <row r="2138" spans="1:4" x14ac:dyDescent="0.25">
      <c r="A2138" t="str">
        <f>T("   842919")</f>
        <v xml:space="preserve">   842919</v>
      </c>
      <c r="B2138" t="str">
        <f>T("   AUTRES")</f>
        <v xml:space="preserve">   AUTRES</v>
      </c>
      <c r="C2138">
        <v>46000</v>
      </c>
      <c r="D2138">
        <v>128961736</v>
      </c>
    </row>
    <row r="2139" spans="1:4" x14ac:dyDescent="0.25">
      <c r="A2139" t="str">
        <f>T("   842920")</f>
        <v xml:space="preserve">   842920</v>
      </c>
      <c r="B2139" t="str">
        <f>T("   NIVELEUSES")</f>
        <v xml:space="preserve">   NIVELEUSES</v>
      </c>
      <c r="C2139">
        <v>73670</v>
      </c>
      <c r="D2139">
        <v>86645147</v>
      </c>
    </row>
    <row r="2140" spans="1:4" x14ac:dyDescent="0.25">
      <c r="A2140" t="str">
        <f>T("   842940")</f>
        <v xml:space="preserve">   842940</v>
      </c>
      <c r="B2140" t="str">
        <f>T("   COMPACTEUSES ET ROULEAUX COMPRESSEURS")</f>
        <v xml:space="preserve">   COMPACTEUSES ET ROULEAUX COMPRESSEURS</v>
      </c>
      <c r="C2140">
        <v>202296</v>
      </c>
      <c r="D2140">
        <v>259855964</v>
      </c>
    </row>
    <row r="2141" spans="1:4" x14ac:dyDescent="0.25">
      <c r="A2141" t="str">
        <f>T("   842951")</f>
        <v xml:space="preserve">   842951</v>
      </c>
      <c r="B2141" t="str">
        <f>T("   CHARGEUSES ET CHARGEUSESPELLETEUSES A CHARGEMENT FRONTAL")</f>
        <v xml:space="preserve">   CHARGEUSES ET CHARGEUSESPELLETEUSES A CHARGEMENT FRONTAL</v>
      </c>
      <c r="C2141">
        <v>372066</v>
      </c>
      <c r="D2141">
        <v>1153221392</v>
      </c>
    </row>
    <row r="2142" spans="1:4" x14ac:dyDescent="0.25">
      <c r="A2142" t="str">
        <f>T("   842959")</f>
        <v xml:space="preserve">   842959</v>
      </c>
      <c r="B2142" t="str">
        <f>T("   AUTRES")</f>
        <v xml:space="preserve">   AUTRES</v>
      </c>
      <c r="C2142">
        <v>1140055</v>
      </c>
      <c r="D2142">
        <v>2132152428</v>
      </c>
    </row>
    <row r="2143" spans="1:4" x14ac:dyDescent="0.25">
      <c r="A2143" t="str">
        <f>T("   843041")</f>
        <v xml:space="preserve">   843041</v>
      </c>
      <c r="B2143" t="str">
        <f>T("   AUTOPROPULSEES")</f>
        <v xml:space="preserve">   AUTOPROPULSEES</v>
      </c>
      <c r="C2143">
        <v>12071</v>
      </c>
      <c r="D2143">
        <v>22891516</v>
      </c>
    </row>
    <row r="2144" spans="1:4" x14ac:dyDescent="0.25">
      <c r="A2144" t="str">
        <f>T("   843049")</f>
        <v xml:space="preserve">   843049</v>
      </c>
      <c r="B2144" t="str">
        <f>T("   AUTRES")</f>
        <v xml:space="preserve">   AUTRES</v>
      </c>
      <c r="C2144">
        <v>311081</v>
      </c>
      <c r="D2144">
        <v>766838049</v>
      </c>
    </row>
    <row r="2145" spans="1:4" x14ac:dyDescent="0.25">
      <c r="A2145" t="str">
        <f>T("   843061")</f>
        <v xml:space="preserve">   843061</v>
      </c>
      <c r="B2145" t="str">
        <f>T("   MACHINES ET APPAREILS A TASSER OU A COMPACTER")</f>
        <v xml:space="preserve">   MACHINES ET APPAREILS A TASSER OU A COMPACTER</v>
      </c>
      <c r="C2145">
        <v>6500</v>
      </c>
      <c r="D2145">
        <v>3858694</v>
      </c>
    </row>
    <row r="2146" spans="1:4" x14ac:dyDescent="0.25">
      <c r="A2146" t="str">
        <f>T("   843069")</f>
        <v xml:space="preserve">   843069</v>
      </c>
      <c r="B2146" t="str">
        <f>T("   AUTRES")</f>
        <v xml:space="preserve">   AUTRES</v>
      </c>
      <c r="C2146">
        <v>177870</v>
      </c>
      <c r="D2146">
        <v>61042440</v>
      </c>
    </row>
    <row r="2147" spans="1:4" x14ac:dyDescent="0.25">
      <c r="A2147" t="str">
        <f>T("   843120")</f>
        <v xml:space="preserve">   843120</v>
      </c>
      <c r="B2147" t="str">
        <f>T("   DE MACHINES OU APPAREILS DU N° 84.27")</f>
        <v xml:space="preserve">   DE MACHINES OU APPAREILS DU N° 84.27</v>
      </c>
      <c r="C2147">
        <v>55471</v>
      </c>
      <c r="D2147">
        <v>56584115</v>
      </c>
    </row>
    <row r="2148" spans="1:4" x14ac:dyDescent="0.25">
      <c r="A2148" t="str">
        <f>T("   843131")</f>
        <v xml:space="preserve">   843131</v>
      </c>
      <c r="B2148" t="str">
        <f>T("   D'ASCENSEURS, MONTECHARGE OU ESCALIERS MECANIQUES")</f>
        <v xml:space="preserve">   D'ASCENSEURS, MONTECHARGE OU ESCALIERS MECANIQUES</v>
      </c>
      <c r="C2148">
        <v>13117</v>
      </c>
      <c r="D2148">
        <v>40215060</v>
      </c>
    </row>
    <row r="2149" spans="1:4" x14ac:dyDescent="0.25">
      <c r="A2149" t="str">
        <f>T("   843139")</f>
        <v xml:space="preserve">   843139</v>
      </c>
      <c r="B2149" t="str">
        <f>T("   AUTRES")</f>
        <v xml:space="preserve">   AUTRES</v>
      </c>
      <c r="C2149">
        <v>131829.75</v>
      </c>
      <c r="D2149">
        <v>230174957</v>
      </c>
    </row>
    <row r="2150" spans="1:4" x14ac:dyDescent="0.25">
      <c r="A2150" t="str">
        <f>T("   843141")</f>
        <v xml:space="preserve">   843141</v>
      </c>
      <c r="B2150" t="str">
        <f>T("   GODETS, BENNES, BENNESPRENEUSES, PELLES, GRAPPINS ET PINCES")</f>
        <v xml:space="preserve">   GODETS, BENNES, BENNESPRENEUSES, PELLES, GRAPPINS ET PINCES</v>
      </c>
      <c r="C2150">
        <v>354793</v>
      </c>
      <c r="D2150">
        <v>1061154138</v>
      </c>
    </row>
    <row r="2151" spans="1:4" x14ac:dyDescent="0.25">
      <c r="A2151" t="str">
        <f>T("   843143")</f>
        <v xml:space="preserve">   843143</v>
      </c>
      <c r="B2151" t="str">
        <f>T("   PARTIES DE MACHINES DE SONDAGE OU DE FORAGE DES N°S 8430.41 OU 8430.49")</f>
        <v xml:space="preserve">   PARTIES DE MACHINES DE SONDAGE OU DE FORAGE DES N°S 8430.41 OU 8430.49</v>
      </c>
      <c r="C2151">
        <v>3378322.2</v>
      </c>
      <c r="D2151">
        <v>29917866898</v>
      </c>
    </row>
    <row r="2152" spans="1:4" x14ac:dyDescent="0.25">
      <c r="A2152" t="str">
        <f>T("   843149")</f>
        <v xml:space="preserve">   843149</v>
      </c>
      <c r="B2152" t="str">
        <f>T("   AUTRES")</f>
        <v xml:space="preserve">   AUTRES</v>
      </c>
      <c r="C2152">
        <v>949753</v>
      </c>
      <c r="D2152">
        <v>5030056208</v>
      </c>
    </row>
    <row r="2153" spans="1:4" x14ac:dyDescent="0.25">
      <c r="A2153" t="str">
        <f>T("   843280")</f>
        <v xml:space="preserve">   843280</v>
      </c>
      <c r="B2153" t="str">
        <f>T("   AUTRES MACHINES, APPAREILS ET ENGINS")</f>
        <v xml:space="preserve">   AUTRES MACHINES, APPAREILS ET ENGINS</v>
      </c>
      <c r="C2153">
        <v>20000</v>
      </c>
      <c r="D2153">
        <v>5000000</v>
      </c>
    </row>
    <row r="2154" spans="1:4" x14ac:dyDescent="0.25">
      <c r="A2154" t="str">
        <f>T("   843510")</f>
        <v xml:space="preserve">   843510</v>
      </c>
      <c r="B2154" t="str">
        <f>T("   MACHINES ET APPAREILS")</f>
        <v xml:space="preserve">   MACHINES ET APPAREILS</v>
      </c>
      <c r="C2154">
        <v>29</v>
      </c>
      <c r="D2154">
        <v>1638617</v>
      </c>
    </row>
    <row r="2155" spans="1:4" x14ac:dyDescent="0.25">
      <c r="A2155" t="str">
        <f>T("   843840")</f>
        <v xml:space="preserve">   843840</v>
      </c>
      <c r="B2155" t="str">
        <f>T("   Machines et appareils pour la brasserie")</f>
        <v xml:space="preserve">   Machines et appareils pour la brasserie</v>
      </c>
      <c r="C2155">
        <v>2664</v>
      </c>
      <c r="D2155">
        <v>64841413</v>
      </c>
    </row>
    <row r="2156" spans="1:4" x14ac:dyDescent="0.25">
      <c r="A2156" t="str">
        <f>T("   844339")</f>
        <v xml:space="preserve">   844339</v>
      </c>
      <c r="B2156" t="str">
        <f>T("   AUTRES")</f>
        <v xml:space="preserve">   AUTRES</v>
      </c>
      <c r="C2156">
        <v>7000</v>
      </c>
      <c r="D2156">
        <v>8000000</v>
      </c>
    </row>
    <row r="2157" spans="1:4" x14ac:dyDescent="0.25">
      <c r="A2157" t="str">
        <f>T("   845180")</f>
        <v xml:space="preserve">   845180</v>
      </c>
      <c r="B2157" t="str">
        <f>T("   AUTRES MACHINES ET APPAREILS")</f>
        <v xml:space="preserve">   AUTRES MACHINES ET APPAREILS</v>
      </c>
      <c r="C2157">
        <v>6540</v>
      </c>
      <c r="D2157">
        <v>60969514</v>
      </c>
    </row>
    <row r="2158" spans="1:4" x14ac:dyDescent="0.25">
      <c r="A2158" t="str">
        <f>T("   845899")</f>
        <v xml:space="preserve">   845899</v>
      </c>
      <c r="B2158" t="str">
        <f>T("   AUTRES")</f>
        <v xml:space="preserve">   AUTRES</v>
      </c>
      <c r="C2158">
        <v>10000</v>
      </c>
      <c r="D2158">
        <v>4107642</v>
      </c>
    </row>
    <row r="2159" spans="1:4" x14ac:dyDescent="0.25">
      <c r="A2159" t="str">
        <f>T("   846190")</f>
        <v xml:space="preserve">   846190</v>
      </c>
      <c r="B2159" t="str">
        <f>T("   AUTRES")</f>
        <v xml:space="preserve">   AUTRES</v>
      </c>
      <c r="C2159">
        <v>590</v>
      </c>
      <c r="D2159">
        <v>921108</v>
      </c>
    </row>
    <row r="2160" spans="1:4" x14ac:dyDescent="0.25">
      <c r="A2160" t="str">
        <f>T("   846291")</f>
        <v xml:space="preserve">   846291</v>
      </c>
      <c r="B2160" t="str">
        <f>T("   PRESSES HYDRAULIQUES")</f>
        <v xml:space="preserve">   PRESSES HYDRAULIQUES</v>
      </c>
      <c r="C2160">
        <v>19960</v>
      </c>
      <c r="D2160">
        <v>20742372</v>
      </c>
    </row>
    <row r="2161" spans="1:4" x14ac:dyDescent="0.25">
      <c r="A2161" t="str">
        <f>T("   846410")</f>
        <v xml:space="preserve">   846410</v>
      </c>
      <c r="B2161" t="str">
        <f>T("   MACHINES A SCIER")</f>
        <v xml:space="preserve">   MACHINES A SCIER</v>
      </c>
      <c r="C2161">
        <v>894</v>
      </c>
      <c r="D2161">
        <v>9923554</v>
      </c>
    </row>
    <row r="2162" spans="1:4" x14ac:dyDescent="0.25">
      <c r="A2162" t="str">
        <f>T("   846692")</f>
        <v xml:space="preserve">   846692</v>
      </c>
      <c r="B2162" t="str">
        <f>T("   POUR MACHINES DU N° 84.65")</f>
        <v xml:space="preserve">   POUR MACHINES DU N° 84.65</v>
      </c>
      <c r="C2162">
        <v>15000</v>
      </c>
      <c r="D2162">
        <v>2000000</v>
      </c>
    </row>
    <row r="2163" spans="1:4" x14ac:dyDescent="0.25">
      <c r="A2163" t="str">
        <f>T("   846880")</f>
        <v xml:space="preserve">   846880</v>
      </c>
      <c r="B2163" t="str">
        <f>T("   AUTRES MACHINES ET APPAREILS")</f>
        <v xml:space="preserve">   AUTRES MACHINES ET APPAREILS</v>
      </c>
      <c r="C2163">
        <v>700</v>
      </c>
      <c r="D2163">
        <v>5078540</v>
      </c>
    </row>
    <row r="2164" spans="1:4" x14ac:dyDescent="0.25">
      <c r="A2164" t="str">
        <f>T("   847130")</f>
        <v xml:space="preserve">   847130</v>
      </c>
      <c r="B2164" t="str">
        <f>T("   MACHINES AUTOMATIQUES DE TRAITEMENT DE L'INFORMATION PORTATIVES, D'UN POIDS N'EXCEDAN")</f>
        <v xml:space="preserve">   MACHINES AUTOMATIQUES DE TRAITEMENT DE L'INFORMATION PORTATIVES, D'UN POIDS N'EXCEDAN</v>
      </c>
      <c r="C2164">
        <v>6</v>
      </c>
      <c r="D2164">
        <v>497896</v>
      </c>
    </row>
    <row r="2165" spans="1:4" x14ac:dyDescent="0.25">
      <c r="A2165" t="str">
        <f>T("   847149")</f>
        <v xml:space="preserve">   847149</v>
      </c>
      <c r="B2165" t="str">
        <f>T("   AUTRES, SE PRESENTANT SOUS FORME DE SYSTEMES")</f>
        <v xml:space="preserve">   AUTRES, SE PRESENTANT SOUS FORME DE SYSTEMES</v>
      </c>
      <c r="C2165">
        <v>91</v>
      </c>
      <c r="D2165">
        <v>500000</v>
      </c>
    </row>
    <row r="2166" spans="1:4" x14ac:dyDescent="0.25">
      <c r="A2166" t="str">
        <f>T("   847150")</f>
        <v xml:space="preserve">   847150</v>
      </c>
      <c r="B2166" t="str">
        <f>T("   UNITES DE TRAITEMENT AUTRES QUE CELLES DES N°S 8471.41 OU 8471.49, POUVANT COMPORTER,")</f>
        <v xml:space="preserve">   UNITES DE TRAITEMENT AUTRES QUE CELLES DES N°S 8471.41 OU 8471.49, POUVANT COMPORTER,</v>
      </c>
      <c r="C2166">
        <v>243</v>
      </c>
      <c r="D2166">
        <v>3604767</v>
      </c>
    </row>
    <row r="2167" spans="1:4" x14ac:dyDescent="0.25">
      <c r="A2167" t="str">
        <f>T("   847160")</f>
        <v xml:space="preserve">   847160</v>
      </c>
      <c r="B2167" t="str">
        <f>T("   UNITES D'ENTREE OU DE SORTIE, POUVANT COMPORTER, SOUS LA MEME ENVELOPPE, DES UNITES D")</f>
        <v xml:space="preserve">   UNITES D'ENTREE OU DE SORTIE, POUVANT COMPORTER, SOUS LA MEME ENVELOPPE, DES UNITES D</v>
      </c>
      <c r="C2167">
        <v>5</v>
      </c>
      <c r="D2167">
        <v>275987</v>
      </c>
    </row>
    <row r="2168" spans="1:4" x14ac:dyDescent="0.25">
      <c r="A2168" t="str">
        <f>T("   847170")</f>
        <v xml:space="preserve">   847170</v>
      </c>
      <c r="B2168" t="str">
        <f>T("   UNITES DE MEMOIRE")</f>
        <v xml:space="preserve">   UNITES DE MEMOIRE</v>
      </c>
      <c r="C2168">
        <v>12</v>
      </c>
      <c r="D2168">
        <v>174435</v>
      </c>
    </row>
    <row r="2169" spans="1:4" x14ac:dyDescent="0.25">
      <c r="A2169" t="str">
        <f>T("   847180")</f>
        <v xml:space="preserve">   847180</v>
      </c>
      <c r="B2169" t="str">
        <f>T("   AUTRES UNITES DE MACHINES AUTOMATIQUES DE TRAITEMENT DE L'INFORMATION")</f>
        <v xml:space="preserve">   AUTRES UNITES DE MACHINES AUTOMATIQUES DE TRAITEMENT DE L'INFORMATION</v>
      </c>
      <c r="C2169">
        <v>6674</v>
      </c>
      <c r="D2169">
        <v>43922248</v>
      </c>
    </row>
    <row r="2170" spans="1:4" x14ac:dyDescent="0.25">
      <c r="A2170" t="str">
        <f>T("   847190")</f>
        <v xml:space="preserve">   847190</v>
      </c>
      <c r="B2170" t="str">
        <f>T("   AUTRES")</f>
        <v xml:space="preserve">   AUTRES</v>
      </c>
      <c r="C2170">
        <v>282.3</v>
      </c>
      <c r="D2170">
        <v>104059791</v>
      </c>
    </row>
    <row r="2171" spans="1:4" x14ac:dyDescent="0.25">
      <c r="A2171" t="str">
        <f>T("   847290")</f>
        <v xml:space="preserve">   847290</v>
      </c>
      <c r="B2171" t="str">
        <f>T("   AUTRES")</f>
        <v xml:space="preserve">   AUTRES</v>
      </c>
      <c r="C2171">
        <v>91</v>
      </c>
      <c r="D2171">
        <v>698317</v>
      </c>
    </row>
    <row r="2172" spans="1:4" x14ac:dyDescent="0.25">
      <c r="A2172" t="str">
        <f>T("   847330")</f>
        <v xml:space="preserve">   847330</v>
      </c>
      <c r="B2172" t="str">
        <f>T("   PARTIES ET ACCESSOIRES DES MACHINES DU N° 84.71")</f>
        <v xml:space="preserve">   PARTIES ET ACCESSOIRES DES MACHINES DU N° 84.71</v>
      </c>
      <c r="C2172">
        <v>7989</v>
      </c>
      <c r="D2172">
        <v>11116878</v>
      </c>
    </row>
    <row r="2173" spans="1:4" x14ac:dyDescent="0.25">
      <c r="A2173" t="str">
        <f>T("   847340")</f>
        <v xml:space="preserve">   847340</v>
      </c>
      <c r="B2173" t="str">
        <f>T("   PARTIES ET ACCESSOIRES DES MACHINES DU N° 84.72")</f>
        <v xml:space="preserve">   PARTIES ET ACCESSOIRES DES MACHINES DU N° 84.72</v>
      </c>
      <c r="C2173">
        <v>12</v>
      </c>
      <c r="D2173">
        <v>3723537</v>
      </c>
    </row>
    <row r="2174" spans="1:4" x14ac:dyDescent="0.25">
      <c r="A2174" t="str">
        <f>T("   847420")</f>
        <v xml:space="preserve">   847420</v>
      </c>
      <c r="B2174" t="str">
        <f>T("   MACHINES ET APPAREILS A CONCASSER, BROYER OU PULVERISER")</f>
        <v xml:space="preserve">   MACHINES ET APPAREILS A CONCASSER, BROYER OU PULVERISER</v>
      </c>
      <c r="C2174">
        <v>125000</v>
      </c>
      <c r="D2174">
        <v>113685950</v>
      </c>
    </row>
    <row r="2175" spans="1:4" x14ac:dyDescent="0.25">
      <c r="A2175" t="str">
        <f>T("   847431")</f>
        <v xml:space="preserve">   847431</v>
      </c>
      <c r="B2175" t="str">
        <f>T("   BETONNIERES ET APPAREILS A GACHER LE CIMENT")</f>
        <v xml:space="preserve">   BETONNIERES ET APPAREILS A GACHER LE CIMENT</v>
      </c>
      <c r="C2175">
        <v>142936</v>
      </c>
      <c r="D2175">
        <v>240617516</v>
      </c>
    </row>
    <row r="2176" spans="1:4" x14ac:dyDescent="0.25">
      <c r="A2176" t="str">
        <f>T("   847432")</f>
        <v xml:space="preserve">   847432</v>
      </c>
      <c r="B2176" t="str">
        <f>T("   MACHINES A MELANGER LES MATIERES MINERALES AU BITUME")</f>
        <v xml:space="preserve">   MACHINES A MELANGER LES MATIERES MINERALES AU BITUME</v>
      </c>
      <c r="C2176">
        <v>138000</v>
      </c>
      <c r="D2176">
        <v>53869000</v>
      </c>
    </row>
    <row r="2177" spans="1:4" x14ac:dyDescent="0.25">
      <c r="A2177" t="str">
        <f>T("   847439")</f>
        <v xml:space="preserve">   847439</v>
      </c>
      <c r="B2177" t="str">
        <f>T("   AUTRES")</f>
        <v xml:space="preserve">   AUTRES</v>
      </c>
      <c r="C2177">
        <v>10530</v>
      </c>
      <c r="D2177">
        <v>33087934</v>
      </c>
    </row>
    <row r="2178" spans="1:4" x14ac:dyDescent="0.25">
      <c r="A2178" t="str">
        <f>T("   847480")</f>
        <v xml:space="preserve">   847480</v>
      </c>
      <c r="B2178" t="str">
        <f>T("   AUTRES MACHINES ET APPAREILS")</f>
        <v xml:space="preserve">   AUTRES MACHINES ET APPAREILS</v>
      </c>
      <c r="C2178">
        <v>28939</v>
      </c>
      <c r="D2178">
        <v>19270689</v>
      </c>
    </row>
    <row r="2179" spans="1:4" x14ac:dyDescent="0.25">
      <c r="A2179" t="str">
        <f>T("   847490")</f>
        <v xml:space="preserve">   847490</v>
      </c>
      <c r="B2179" t="str">
        <f>T("   PARTIES")</f>
        <v xml:space="preserve">   PARTIES</v>
      </c>
      <c r="C2179">
        <v>8400</v>
      </c>
      <c r="D2179">
        <v>26960508</v>
      </c>
    </row>
    <row r="2180" spans="1:4" x14ac:dyDescent="0.25">
      <c r="A2180" t="str">
        <f>T("   847910")</f>
        <v xml:space="preserve">   847910</v>
      </c>
      <c r="B2180" t="str">
        <f>T("   MACHINES ET APPAREILS POUR LES TRAVAUX PUBLICS, LE BATIMENT OU LES TRAVAUX ANALOGUES")</f>
        <v xml:space="preserve">   MACHINES ET APPAREILS POUR LES TRAVAUX PUBLICS, LE BATIMENT OU LES TRAVAUX ANALOGUES</v>
      </c>
      <c r="C2180">
        <v>69990</v>
      </c>
      <c r="D2180">
        <v>132128530</v>
      </c>
    </row>
    <row r="2181" spans="1:4" x14ac:dyDescent="0.25">
      <c r="A2181" t="str">
        <f>T("   847981")</f>
        <v xml:space="preserve">   847981</v>
      </c>
      <c r="B2181" t="str">
        <f>T("   POUR LE TRAITEMENT DES METAUX, Y COMPRIS LES BOBINEUSES POUR ENROULEMENTS ELECTRIQUE")</f>
        <v xml:space="preserve">   POUR LE TRAITEMENT DES METAUX, Y COMPRIS LES BOBINEUSES POUR ENROULEMENTS ELECTRIQUE</v>
      </c>
      <c r="C2181">
        <v>3577</v>
      </c>
      <c r="D2181">
        <v>2771851</v>
      </c>
    </row>
    <row r="2182" spans="1:4" x14ac:dyDescent="0.25">
      <c r="A2182" t="str">
        <f>T("   847989")</f>
        <v xml:space="preserve">   847989</v>
      </c>
      <c r="B2182" t="str">
        <f>T("   AUTRES")</f>
        <v xml:space="preserve">   AUTRES</v>
      </c>
      <c r="C2182">
        <v>25697</v>
      </c>
      <c r="D2182">
        <v>183439374</v>
      </c>
    </row>
    <row r="2183" spans="1:4" x14ac:dyDescent="0.25">
      <c r="A2183" t="str">
        <f>T("   847990")</f>
        <v xml:space="preserve">   847990</v>
      </c>
      <c r="B2183" t="str">
        <f>T("   PARTIES")</f>
        <v xml:space="preserve">   PARTIES</v>
      </c>
      <c r="C2183">
        <v>29394.5</v>
      </c>
      <c r="D2183">
        <v>422647413</v>
      </c>
    </row>
    <row r="2184" spans="1:4" x14ac:dyDescent="0.25">
      <c r="A2184" t="str">
        <f>T("   848060")</f>
        <v xml:space="preserve">   848060</v>
      </c>
      <c r="B2184" t="str">
        <f>T("   MOULES POUR LES MATIERES MINERALES")</f>
        <v xml:space="preserve">   MOULES POUR LES MATIERES MINERALES</v>
      </c>
      <c r="C2184">
        <v>200</v>
      </c>
      <c r="D2184">
        <v>400000</v>
      </c>
    </row>
    <row r="2185" spans="1:4" x14ac:dyDescent="0.25">
      <c r="A2185" t="str">
        <f>T("   848079")</f>
        <v xml:space="preserve">   848079</v>
      </c>
      <c r="B2185" t="str">
        <f>T("   AUTRES")</f>
        <v xml:space="preserve">   AUTRES</v>
      </c>
      <c r="C2185">
        <v>520</v>
      </c>
      <c r="D2185">
        <v>2180250</v>
      </c>
    </row>
    <row r="2186" spans="1:4" x14ac:dyDescent="0.25">
      <c r="A2186" t="str">
        <f>T("   848120")</f>
        <v xml:space="preserve">   848120</v>
      </c>
      <c r="B2186" t="str">
        <f>T("   VALVES POUR TRANSMISSIONS OLEOHYDRAULIQUES OU PNEUMATIQUES")</f>
        <v xml:space="preserve">   VALVES POUR TRANSMISSIONS OLEOHYDRAULIQUES OU PNEUMATIQUES</v>
      </c>
      <c r="C2186">
        <v>320</v>
      </c>
      <c r="D2186">
        <v>34650272</v>
      </c>
    </row>
    <row r="2187" spans="1:4" x14ac:dyDescent="0.25">
      <c r="A2187" t="str">
        <f>T("   848130")</f>
        <v xml:space="preserve">   848130</v>
      </c>
      <c r="B2187" t="str">
        <f>T("   Clapets et soupapes de retenue")</f>
        <v xml:space="preserve">   Clapets et soupapes de retenue</v>
      </c>
      <c r="C2187">
        <v>1475</v>
      </c>
      <c r="D2187">
        <v>11448521</v>
      </c>
    </row>
    <row r="2188" spans="1:4" x14ac:dyDescent="0.25">
      <c r="A2188" t="str">
        <f>T("   848140")</f>
        <v xml:space="preserve">   848140</v>
      </c>
      <c r="B2188" t="str">
        <f>T("   SOUPAPES DE TROPPLEIN OU DE SURETE")</f>
        <v xml:space="preserve">   SOUPAPES DE TROPPLEIN OU DE SURETE</v>
      </c>
      <c r="C2188">
        <v>2094</v>
      </c>
      <c r="D2188">
        <v>154059150</v>
      </c>
    </row>
    <row r="2189" spans="1:4" x14ac:dyDescent="0.25">
      <c r="A2189" t="str">
        <f>T("   848180")</f>
        <v xml:space="preserve">   848180</v>
      </c>
      <c r="B2189" t="str">
        <f>T("   Autres articles de robinetterie et organes similaires")</f>
        <v xml:space="preserve">   Autres articles de robinetterie et organes similaires</v>
      </c>
      <c r="C2189">
        <v>337934</v>
      </c>
      <c r="D2189">
        <v>1052044583</v>
      </c>
    </row>
    <row r="2190" spans="1:4" x14ac:dyDescent="0.25">
      <c r="A2190" t="str">
        <f>T("   848190")</f>
        <v xml:space="preserve">   848190</v>
      </c>
      <c r="B2190" t="str">
        <f>T("   PARTIES")</f>
        <v xml:space="preserve">   PARTIES</v>
      </c>
      <c r="C2190">
        <v>8215.9</v>
      </c>
      <c r="D2190">
        <v>299455631</v>
      </c>
    </row>
    <row r="2191" spans="1:4" x14ac:dyDescent="0.25">
      <c r="A2191" t="str">
        <f>T("   848240")</f>
        <v xml:space="preserve">   848240</v>
      </c>
      <c r="B2191" t="str">
        <f>T("   ROULEMENTS A AIGUILLES")</f>
        <v xml:space="preserve">   ROULEMENTS A AIGUILLES</v>
      </c>
      <c r="C2191">
        <v>83.5</v>
      </c>
      <c r="D2191">
        <v>3928399</v>
      </c>
    </row>
    <row r="2192" spans="1:4" x14ac:dyDescent="0.25">
      <c r="A2192" t="str">
        <f>T("   848280")</f>
        <v xml:space="preserve">   848280</v>
      </c>
      <c r="B2192" t="str">
        <f>T("   AUTRES, Y COMPRIS LES ROULEMENTS COMBINES")</f>
        <v xml:space="preserve">   AUTRES, Y COMPRIS LES ROULEMENTS COMBINES</v>
      </c>
      <c r="C2192">
        <v>135</v>
      </c>
      <c r="D2192">
        <v>7093296</v>
      </c>
    </row>
    <row r="2193" spans="1:4" x14ac:dyDescent="0.25">
      <c r="A2193" t="str">
        <f>T("   848350")</f>
        <v xml:space="preserve">   848350</v>
      </c>
      <c r="B2193" t="str">
        <f>T("   VOLANTS ET POULIES, Y COMPRIS LES POULIES A MOUFLES")</f>
        <v xml:space="preserve">   VOLANTS ET POULIES, Y COMPRIS LES POULIES A MOUFLES</v>
      </c>
      <c r="C2193">
        <v>50</v>
      </c>
      <c r="D2193">
        <v>50000</v>
      </c>
    </row>
    <row r="2194" spans="1:4" x14ac:dyDescent="0.25">
      <c r="A2194" t="str">
        <f>T("   848360")</f>
        <v xml:space="preserve">   848360</v>
      </c>
      <c r="B2194" t="str">
        <f>T("   EMBRAYAGES ET ORGANES D'ACCOUPLEMENT, Y COMPRIS LES JOINTS D'ARTICULATION")</f>
        <v xml:space="preserve">   EMBRAYAGES ET ORGANES D'ACCOUPLEMENT, Y COMPRIS LES JOINTS D'ARTICULATION</v>
      </c>
      <c r="C2194">
        <v>11</v>
      </c>
      <c r="D2194">
        <v>14296907</v>
      </c>
    </row>
    <row r="2195" spans="1:4" x14ac:dyDescent="0.25">
      <c r="A2195" t="str">
        <f>T("   848490")</f>
        <v xml:space="preserve">   848490</v>
      </c>
      <c r="B2195" t="str">
        <f>T("   AUTRES")</f>
        <v xml:space="preserve">   AUTRES</v>
      </c>
      <c r="C2195">
        <v>58809</v>
      </c>
      <c r="D2195">
        <v>171496906</v>
      </c>
    </row>
    <row r="2196" spans="1:4" x14ac:dyDescent="0.25">
      <c r="A2196" t="str">
        <f>T("   850132")</f>
        <v xml:space="preserve">   850132</v>
      </c>
      <c r="B2196" t="str">
        <f>T("   D'UNE PUISSANCE EXCEDANT 750 W MAIS N'EXCEDANT PAS 75 KW")</f>
        <v xml:space="preserve">   D'UNE PUISSANCE EXCEDANT 750 W MAIS N'EXCEDANT PAS 75 KW</v>
      </c>
      <c r="C2196">
        <v>199</v>
      </c>
      <c r="D2196">
        <v>2215686</v>
      </c>
    </row>
    <row r="2197" spans="1:4" x14ac:dyDescent="0.25">
      <c r="A2197" t="str">
        <f>T("   850133")</f>
        <v xml:space="preserve">   850133</v>
      </c>
      <c r="B2197" t="str">
        <f>T("   D'UNE PUISSANCE EXCEDANT 75 KW MAIS N'EXCEDANT PAS 375 KW")</f>
        <v xml:space="preserve">   D'UNE PUISSANCE EXCEDANT 75 KW MAIS N'EXCEDANT PAS 375 KW</v>
      </c>
      <c r="C2197">
        <v>150</v>
      </c>
      <c r="D2197">
        <v>647265</v>
      </c>
    </row>
    <row r="2198" spans="1:4" x14ac:dyDescent="0.25">
      <c r="A2198" t="str">
        <f>T("   850140")</f>
        <v xml:space="preserve">   850140</v>
      </c>
      <c r="B2198" t="str">
        <f>T("   AUTRES MOTEURS A COURANT ALTERNATIF, MONOPHASES")</f>
        <v xml:space="preserve">   AUTRES MOTEURS A COURANT ALTERNATIF, MONOPHASES</v>
      </c>
      <c r="C2198">
        <v>3764.5</v>
      </c>
      <c r="D2198">
        <v>31379955</v>
      </c>
    </row>
    <row r="2199" spans="1:4" x14ac:dyDescent="0.25">
      <c r="A2199" t="str">
        <f>T("   850161")</f>
        <v xml:space="preserve">   850161</v>
      </c>
      <c r="B2199" t="str">
        <f>T("   D'UNE PUISSANCE N'EXCEDANT PAS 75 KVA")</f>
        <v xml:space="preserve">   D'UNE PUISSANCE N'EXCEDANT PAS 75 KVA</v>
      </c>
      <c r="C2199">
        <v>4300</v>
      </c>
      <c r="D2199">
        <v>4227990</v>
      </c>
    </row>
    <row r="2200" spans="1:4" x14ac:dyDescent="0.25">
      <c r="A2200" t="str">
        <f>T("   850162")</f>
        <v xml:space="preserve">   850162</v>
      </c>
      <c r="B2200" t="str">
        <f>T("   D'UNE PUISSANCE EXCEDANT 75 KVA MAIS N'EXCEDANT PAS 375 KVA")</f>
        <v xml:space="preserve">   D'UNE PUISSANCE EXCEDANT 75 KVA MAIS N'EXCEDANT PAS 375 KVA</v>
      </c>
      <c r="C2200">
        <v>2250</v>
      </c>
      <c r="D2200">
        <v>14936880</v>
      </c>
    </row>
    <row r="2201" spans="1:4" x14ac:dyDescent="0.25">
      <c r="A2201" t="str">
        <f>T("   850164")</f>
        <v xml:space="preserve">   850164</v>
      </c>
      <c r="B2201" t="str">
        <f>T("   D'UNE PUISSANCE EXCEDANT 750 KVA")</f>
        <v xml:space="preserve">   D'UNE PUISSANCE EXCEDANT 750 KVA</v>
      </c>
      <c r="C2201">
        <v>600</v>
      </c>
      <c r="D2201">
        <v>19915840</v>
      </c>
    </row>
    <row r="2202" spans="1:4" x14ac:dyDescent="0.25">
      <c r="A2202" t="str">
        <f>T("   850211")</f>
        <v xml:space="preserve">   850211</v>
      </c>
      <c r="B2202" t="str">
        <f>T("   D'UNE PUISSANCE N'EXCEDANT PAS 75 KVA")</f>
        <v xml:space="preserve">   D'UNE PUISSANCE N'EXCEDANT PAS 75 KVA</v>
      </c>
      <c r="C2202">
        <v>40258</v>
      </c>
      <c r="D2202">
        <v>156766401</v>
      </c>
    </row>
    <row r="2203" spans="1:4" x14ac:dyDescent="0.25">
      <c r="A2203" t="str">
        <f>T("   850212")</f>
        <v xml:space="preserve">   850212</v>
      </c>
      <c r="B2203" t="str">
        <f>T("   D'UNE PUISSANCE EXCEDANT 75 KVA MAIS N'EXCEDANT PAS 375 KVA")</f>
        <v xml:space="preserve">   D'UNE PUISSANCE EXCEDANT 75 KVA MAIS N'EXCEDANT PAS 375 KVA</v>
      </c>
      <c r="C2203">
        <v>11498</v>
      </c>
      <c r="D2203">
        <v>22392286</v>
      </c>
    </row>
    <row r="2204" spans="1:4" x14ac:dyDescent="0.25">
      <c r="A2204" t="str">
        <f>T("   850213")</f>
        <v xml:space="preserve">   850213</v>
      </c>
      <c r="B2204" t="str">
        <f>T("   D'UNE PUISSANCE EXCEDANT 375 KVA")</f>
        <v xml:space="preserve">   D'UNE PUISSANCE EXCEDANT 375 KVA</v>
      </c>
      <c r="C2204">
        <v>39483</v>
      </c>
      <c r="D2204">
        <v>92454983</v>
      </c>
    </row>
    <row r="2205" spans="1:4" x14ac:dyDescent="0.25">
      <c r="A2205" t="str">
        <f>T("   850220")</f>
        <v xml:space="preserve">   850220</v>
      </c>
      <c r="B2205" t="str">
        <f>T("   GROUPES ELECTROGENES A MOTEUR A PISTON A ALLUMAGE PAR ETINCELLES (MOTEURS A EXPLOSION")</f>
        <v xml:space="preserve">   GROUPES ELECTROGENES A MOTEUR A PISTON A ALLUMAGE PAR ETINCELLES (MOTEURS A EXPLOSION</v>
      </c>
      <c r="C2205">
        <v>1000</v>
      </c>
      <c r="D2205">
        <v>175000</v>
      </c>
    </row>
    <row r="2206" spans="1:4" x14ac:dyDescent="0.25">
      <c r="A2206" t="str">
        <f>T("   850239")</f>
        <v xml:space="preserve">   850239</v>
      </c>
      <c r="B2206" t="str">
        <f>T("   AUTRES")</f>
        <v xml:space="preserve">   AUTRES</v>
      </c>
      <c r="C2206">
        <v>36851</v>
      </c>
      <c r="D2206">
        <v>179487465</v>
      </c>
    </row>
    <row r="2207" spans="1:4" x14ac:dyDescent="0.25">
      <c r="A2207" t="str">
        <f>T("   850421")</f>
        <v xml:space="preserve">   850421</v>
      </c>
      <c r="B2207" t="str">
        <f>T("   D'UNE PUISSANCE N'EXCEDANT PAS 650 KVA")</f>
        <v xml:space="preserve">   D'UNE PUISSANCE N'EXCEDANT PAS 650 KVA</v>
      </c>
      <c r="C2207">
        <v>36</v>
      </c>
      <c r="D2207">
        <v>3334085</v>
      </c>
    </row>
    <row r="2208" spans="1:4" x14ac:dyDescent="0.25">
      <c r="A2208" t="str">
        <f>T("   850422")</f>
        <v xml:space="preserve">   850422</v>
      </c>
      <c r="B2208" t="str">
        <f>T("   D'UNE PUISSANCE EXCEDANT 650 KVA MAIS N'EXCEDANT PAS 10.000 KVA")</f>
        <v xml:space="preserve">   D'UNE PUISSANCE EXCEDANT 650 KVA MAIS N'EXCEDANT PAS 10.000 KVA</v>
      </c>
      <c r="C2208">
        <v>10662</v>
      </c>
      <c r="D2208">
        <v>118476119</v>
      </c>
    </row>
    <row r="2209" spans="1:4" x14ac:dyDescent="0.25">
      <c r="A2209" t="str">
        <f>T("   850431")</f>
        <v xml:space="preserve">   850431</v>
      </c>
      <c r="B2209" t="str">
        <f>T("   D'UNE PUISSANCE N'EXCEDANT PAS 1 KVA")</f>
        <v xml:space="preserve">   D'UNE PUISSANCE N'EXCEDANT PAS 1 KVA</v>
      </c>
      <c r="C2209">
        <v>8886.2099999999991</v>
      </c>
      <c r="D2209">
        <v>52140257</v>
      </c>
    </row>
    <row r="2210" spans="1:4" x14ac:dyDescent="0.25">
      <c r="A2210" t="str">
        <f>T("   850433")</f>
        <v xml:space="preserve">   850433</v>
      </c>
      <c r="B2210" t="str">
        <f>T("   D'UNE PUISSANCE EXCEDANT 16 KVA MAIS N'EXCEDANT PAS 500 KVA")</f>
        <v xml:space="preserve">   D'UNE PUISSANCE EXCEDANT 16 KVA MAIS N'EXCEDANT PAS 500 KVA</v>
      </c>
      <c r="C2210">
        <v>549</v>
      </c>
      <c r="D2210">
        <v>5810596</v>
      </c>
    </row>
    <row r="2211" spans="1:4" x14ac:dyDescent="0.25">
      <c r="A2211" t="str">
        <f>T("   850434")</f>
        <v xml:space="preserve">   850434</v>
      </c>
      <c r="B2211" t="str">
        <f>T("   D'UNE PUISSANCE EXCEDANT 500 KVA")</f>
        <v xml:space="preserve">   D'UNE PUISSANCE EXCEDANT 500 KVA</v>
      </c>
      <c r="C2211">
        <v>52650</v>
      </c>
      <c r="D2211">
        <v>591825813</v>
      </c>
    </row>
    <row r="2212" spans="1:4" x14ac:dyDescent="0.25">
      <c r="A2212" t="str">
        <f>T("   850440")</f>
        <v xml:space="preserve">   850440</v>
      </c>
      <c r="B2212" t="str">
        <f>T("   CONVERTISSEURS STATIQUES")</f>
        <v xml:space="preserve">   CONVERTISSEURS STATIQUES</v>
      </c>
      <c r="C2212">
        <v>3771</v>
      </c>
      <c r="D2212">
        <v>57935397</v>
      </c>
    </row>
    <row r="2213" spans="1:4" x14ac:dyDescent="0.25">
      <c r="A2213" t="str">
        <f>T("   850490")</f>
        <v xml:space="preserve">   850490</v>
      </c>
      <c r="B2213" t="str">
        <f>T("   PARTIES")</f>
        <v xml:space="preserve">   PARTIES</v>
      </c>
      <c r="C2213">
        <v>3</v>
      </c>
      <c r="D2213">
        <v>2510100</v>
      </c>
    </row>
    <row r="2214" spans="1:4" x14ac:dyDescent="0.25">
      <c r="A2214" t="str">
        <f>T("   850511")</f>
        <v xml:space="preserve">   850511</v>
      </c>
      <c r="B2214" t="str">
        <f>T("   EN METAL")</f>
        <v xml:space="preserve">   EN METAL</v>
      </c>
      <c r="C2214">
        <v>77</v>
      </c>
      <c r="D2214">
        <v>1685343</v>
      </c>
    </row>
    <row r="2215" spans="1:4" x14ac:dyDescent="0.25">
      <c r="A2215" t="str">
        <f>T("   850520")</f>
        <v xml:space="preserve">   850520</v>
      </c>
      <c r="B2215" t="str">
        <f>T("   ACCOUPLEMENTS, EMBRAYAGES, VARIATEURS DE VITESSE ET FREINS ELECTROMAGNETIQUES")</f>
        <v xml:space="preserve">   ACCOUPLEMENTS, EMBRAYAGES, VARIATEURS DE VITESSE ET FREINS ELECTROMAGNETIQUES</v>
      </c>
      <c r="C2215">
        <v>21</v>
      </c>
      <c r="D2215">
        <v>196788</v>
      </c>
    </row>
    <row r="2216" spans="1:4" x14ac:dyDescent="0.25">
      <c r="A2216" t="str">
        <f>T("   850590")</f>
        <v xml:space="preserve">   850590</v>
      </c>
      <c r="B2216" t="str">
        <f>T("   AUTRES, Y COMPRIS LES PARTIES")</f>
        <v xml:space="preserve">   AUTRES, Y COMPRIS LES PARTIES</v>
      </c>
      <c r="C2216">
        <v>312</v>
      </c>
      <c r="D2216">
        <v>1568015</v>
      </c>
    </row>
    <row r="2217" spans="1:4" x14ac:dyDescent="0.25">
      <c r="A2217" t="str">
        <f>T("   850650")</f>
        <v xml:space="preserve">   850650</v>
      </c>
      <c r="B2217" t="str">
        <f>T("   AU LITHIUM")</f>
        <v xml:space="preserve">   AU LITHIUM</v>
      </c>
      <c r="C2217">
        <v>197</v>
      </c>
      <c r="D2217">
        <v>19613119</v>
      </c>
    </row>
    <row r="2218" spans="1:4" x14ac:dyDescent="0.25">
      <c r="A2218" t="str">
        <f>T("   850680")</f>
        <v xml:space="preserve">   850680</v>
      </c>
      <c r="B2218" t="str">
        <f>T("   AUTRES PILES ET BATTERIES DE PILES")</f>
        <v xml:space="preserve">   AUTRES PILES ET BATTERIES DE PILES</v>
      </c>
      <c r="C2218">
        <v>5.3</v>
      </c>
      <c r="D2218">
        <v>1243401</v>
      </c>
    </row>
    <row r="2219" spans="1:4" x14ac:dyDescent="0.25">
      <c r="A2219" t="str">
        <f>T("   850780")</f>
        <v xml:space="preserve">   850780</v>
      </c>
      <c r="B2219" t="str">
        <f>T("   AUTRES ACCUMULATEURS")</f>
        <v xml:space="preserve">   AUTRES ACCUMULATEURS</v>
      </c>
      <c r="C2219">
        <v>9749</v>
      </c>
      <c r="D2219">
        <v>44872977</v>
      </c>
    </row>
    <row r="2220" spans="1:4" x14ac:dyDescent="0.25">
      <c r="A2220" t="str">
        <f>T("   850790")</f>
        <v xml:space="preserve">   850790</v>
      </c>
      <c r="B2220" t="str">
        <f>T("   PARTIES")</f>
        <v xml:space="preserve">   PARTIES</v>
      </c>
      <c r="C2220">
        <v>3</v>
      </c>
      <c r="D2220">
        <v>1546963</v>
      </c>
    </row>
    <row r="2221" spans="1:4" x14ac:dyDescent="0.25">
      <c r="A2221" t="str">
        <f>T("   850980")</f>
        <v xml:space="preserve">   850980</v>
      </c>
      <c r="B2221" t="str">
        <f>T("   AUTRES APPAREILS")</f>
        <v xml:space="preserve">   AUTRES APPAREILS</v>
      </c>
      <c r="C2221">
        <v>15044</v>
      </c>
      <c r="D2221">
        <v>6205960</v>
      </c>
    </row>
    <row r="2222" spans="1:4" x14ac:dyDescent="0.25">
      <c r="A2222" t="str">
        <f>T("   851130")</f>
        <v xml:space="preserve">   851130</v>
      </c>
      <c r="B2222" t="str">
        <f>T("   DISTRIBUTEURS; BOBINES D'ALLUMAGE")</f>
        <v xml:space="preserve">   DISTRIBUTEURS; BOBINES D'ALLUMAGE</v>
      </c>
      <c r="C2222">
        <v>30</v>
      </c>
      <c r="D2222">
        <v>600000</v>
      </c>
    </row>
    <row r="2223" spans="1:4" x14ac:dyDescent="0.25">
      <c r="A2223" t="str">
        <f>T("   851140")</f>
        <v xml:space="preserve">   851140</v>
      </c>
      <c r="B2223" t="str">
        <f>T("   Demarreurs, meme fonctionnant comme generatrices")</f>
        <v xml:space="preserve">   Demarreurs, meme fonctionnant comme generatrices</v>
      </c>
      <c r="C2223">
        <v>19.399999999999999</v>
      </c>
      <c r="D2223">
        <v>100000</v>
      </c>
    </row>
    <row r="2224" spans="1:4" x14ac:dyDescent="0.25">
      <c r="A2224" t="str">
        <f>T("   851180")</f>
        <v xml:space="preserve">   851180</v>
      </c>
      <c r="B2224" t="str">
        <f>T("   AUTRES APPAREILS ET DISPOSITIFS")</f>
        <v xml:space="preserve">   AUTRES APPAREILS ET DISPOSITIFS</v>
      </c>
      <c r="C2224">
        <v>2617</v>
      </c>
      <c r="D2224">
        <v>11019462</v>
      </c>
    </row>
    <row r="2225" spans="1:4" x14ac:dyDescent="0.25">
      <c r="A2225" t="str">
        <f>T("   851220")</f>
        <v xml:space="preserve">   851220</v>
      </c>
      <c r="B2225" t="str">
        <f>T("   AUTRES APPAREILS D'ECLAIRAGE OU DE SIGNALISATION VISUELLE")</f>
        <v xml:space="preserve">   AUTRES APPAREILS D'ECLAIRAGE OU DE SIGNALISATION VISUELLE</v>
      </c>
      <c r="C2225">
        <v>1301</v>
      </c>
      <c r="D2225">
        <v>6885698</v>
      </c>
    </row>
    <row r="2226" spans="1:4" x14ac:dyDescent="0.25">
      <c r="A2226" t="str">
        <f>T("   851310")</f>
        <v xml:space="preserve">   851310</v>
      </c>
      <c r="B2226" t="str">
        <f>T("   LAMPES")</f>
        <v xml:space="preserve">   LAMPES</v>
      </c>
      <c r="C2226">
        <v>7848</v>
      </c>
      <c r="D2226">
        <v>54730999</v>
      </c>
    </row>
    <row r="2227" spans="1:4" x14ac:dyDescent="0.25">
      <c r="A2227" t="str">
        <f>T("   851430")</f>
        <v xml:space="preserve">   851430</v>
      </c>
      <c r="B2227" t="str">
        <f>T("   AUTRES FOURS")</f>
        <v xml:space="preserve">   AUTRES FOURS</v>
      </c>
      <c r="C2227">
        <v>6920</v>
      </c>
      <c r="D2227">
        <v>1450000</v>
      </c>
    </row>
    <row r="2228" spans="1:4" x14ac:dyDescent="0.25">
      <c r="A2228" t="str">
        <f>T("   851440")</f>
        <v xml:space="preserve">   851440</v>
      </c>
      <c r="B2228" t="str">
        <f>T("   AUTRES APPAREILS POUR LE TRAITEMENT THERMIQUE DES MATIERES PAR INDUCTION OU PAR PERTE")</f>
        <v xml:space="preserve">   AUTRES APPAREILS POUR LE TRAITEMENT THERMIQUE DES MATIERES PAR INDUCTION OU PAR PERTE</v>
      </c>
      <c r="C2228">
        <v>18461</v>
      </c>
      <c r="D2228">
        <v>99315315</v>
      </c>
    </row>
    <row r="2229" spans="1:4" x14ac:dyDescent="0.25">
      <c r="A2229" t="str">
        <f>T("   851490")</f>
        <v xml:space="preserve">   851490</v>
      </c>
      <c r="B2229" t="str">
        <f>T("   PARTIES")</f>
        <v xml:space="preserve">   PARTIES</v>
      </c>
      <c r="C2229">
        <v>22006</v>
      </c>
      <c r="D2229">
        <v>6232662</v>
      </c>
    </row>
    <row r="2230" spans="1:4" x14ac:dyDescent="0.25">
      <c r="A2230" t="str">
        <f>T("   851531")</f>
        <v xml:space="preserve">   851531</v>
      </c>
      <c r="B2230" t="str">
        <f>T("   ENTIEREMENT OU PARTIELLEMENT AUTOMATIQUES")</f>
        <v xml:space="preserve">   ENTIEREMENT OU PARTIELLEMENT AUTOMATIQUES</v>
      </c>
      <c r="C2230">
        <v>150</v>
      </c>
      <c r="D2230">
        <v>1881899</v>
      </c>
    </row>
    <row r="2231" spans="1:4" x14ac:dyDescent="0.25">
      <c r="A2231" t="str">
        <f>T("   851539")</f>
        <v xml:space="preserve">   851539</v>
      </c>
      <c r="B2231" t="str">
        <f>T("   AUTRES")</f>
        <v xml:space="preserve">   AUTRES</v>
      </c>
      <c r="C2231">
        <v>1780</v>
      </c>
      <c r="D2231">
        <v>5945158</v>
      </c>
    </row>
    <row r="2232" spans="1:4" x14ac:dyDescent="0.25">
      <c r="A2232" t="str">
        <f>T("   851580")</f>
        <v xml:space="preserve">   851580</v>
      </c>
      <c r="B2232" t="str">
        <f>T("   AUTRES MACHINES ET APPAREILS")</f>
        <v xml:space="preserve">   AUTRES MACHINES ET APPAREILS</v>
      </c>
      <c r="C2232">
        <v>1578</v>
      </c>
      <c r="D2232">
        <v>12402701</v>
      </c>
    </row>
    <row r="2233" spans="1:4" x14ac:dyDescent="0.25">
      <c r="A2233" t="str">
        <f>T("   851640")</f>
        <v xml:space="preserve">   851640</v>
      </c>
      <c r="B2233" t="str">
        <f>T("   Fers a repasser electriques")</f>
        <v xml:space="preserve">   Fers a repasser electriques</v>
      </c>
      <c r="C2233">
        <v>300</v>
      </c>
      <c r="D2233">
        <v>200000</v>
      </c>
    </row>
    <row r="2234" spans="1:4" x14ac:dyDescent="0.25">
      <c r="A2234" t="str">
        <f>T("   851660")</f>
        <v xml:space="preserve">   851660</v>
      </c>
      <c r="B2234" t="str">
        <f>T("   AUTRES FOURS; CUISINIERES, RECHAUDS (Y COMPRIS LES TABLES DE CUISSON), GRILS ET ROTIS")</f>
        <v xml:space="preserve">   AUTRES FOURS; CUISINIERES, RECHAUDS (Y COMPRIS LES TABLES DE CUISSON), GRILS ET ROTIS</v>
      </c>
      <c r="C2234">
        <v>565</v>
      </c>
      <c r="D2234">
        <v>2820628</v>
      </c>
    </row>
    <row r="2235" spans="1:4" x14ac:dyDescent="0.25">
      <c r="A2235" t="str">
        <f>T("   851718")</f>
        <v xml:space="preserve">   851718</v>
      </c>
      <c r="B2235" t="str">
        <f>T("   AUTRES")</f>
        <v xml:space="preserve">   AUTRES</v>
      </c>
      <c r="C2235">
        <v>48130</v>
      </c>
      <c r="D2235">
        <v>1269833</v>
      </c>
    </row>
    <row r="2236" spans="1:4" x14ac:dyDescent="0.25">
      <c r="A2236" t="str">
        <f>T("   851769")</f>
        <v xml:space="preserve">   851769</v>
      </c>
      <c r="B2236" t="str">
        <f>T("   AUTRES")</f>
        <v xml:space="preserve">   AUTRES</v>
      </c>
      <c r="C2236">
        <v>1283</v>
      </c>
      <c r="D2236">
        <v>46395116</v>
      </c>
    </row>
    <row r="2237" spans="1:4" x14ac:dyDescent="0.25">
      <c r="A2237" t="str">
        <f>T("   851770")</f>
        <v xml:space="preserve">   851770</v>
      </c>
      <c r="B2237" t="str">
        <f>T("   PARTIES")</f>
        <v xml:space="preserve">   PARTIES</v>
      </c>
      <c r="C2237">
        <v>25909</v>
      </c>
      <c r="D2237">
        <v>409018577</v>
      </c>
    </row>
    <row r="2238" spans="1:4" x14ac:dyDescent="0.25">
      <c r="A2238" t="str">
        <f>T("   852321")</f>
        <v xml:space="preserve">   852321</v>
      </c>
      <c r="B2238" t="str">
        <f>T("   CARTES MUNIES D'UNE PISTE MAGNETIQUE")</f>
        <v xml:space="preserve">   CARTES MUNIES D'UNE PISTE MAGNETIQUE</v>
      </c>
      <c r="C2238">
        <v>1100</v>
      </c>
      <c r="D2238">
        <v>14239826</v>
      </c>
    </row>
    <row r="2239" spans="1:4" x14ac:dyDescent="0.25">
      <c r="A2239" t="str">
        <f>T("   852380")</f>
        <v xml:space="preserve">   852380</v>
      </c>
      <c r="B2239" t="str">
        <f>T("   AUTRES")</f>
        <v xml:space="preserve">   AUTRES</v>
      </c>
      <c r="C2239">
        <v>1</v>
      </c>
      <c r="D2239">
        <v>7872</v>
      </c>
    </row>
    <row r="2240" spans="1:4" x14ac:dyDescent="0.25">
      <c r="A2240" t="str">
        <f>T("   852550")</f>
        <v xml:space="preserve">   852550</v>
      </c>
      <c r="B2240" t="str">
        <f>T("   APPAREILS D'EMISSION")</f>
        <v xml:space="preserve">   APPAREILS D'EMISSION</v>
      </c>
      <c r="C2240">
        <v>679.7</v>
      </c>
      <c r="D2240">
        <v>6153413</v>
      </c>
    </row>
    <row r="2241" spans="1:4" x14ac:dyDescent="0.25">
      <c r="A2241" t="str">
        <f>T("   852560")</f>
        <v xml:space="preserve">   852560</v>
      </c>
      <c r="B2241" t="str">
        <f>T("   APPAREILS D'EMISSION INCORPORANT UN APPAREIL DE RECEPTION")</f>
        <v xml:space="preserve">   APPAREILS D'EMISSION INCORPORANT UN APPAREIL DE RECEPTION</v>
      </c>
      <c r="C2241">
        <v>1261</v>
      </c>
      <c r="D2241">
        <v>22361894</v>
      </c>
    </row>
    <row r="2242" spans="1:4" x14ac:dyDescent="0.25">
      <c r="A2242" t="str">
        <f>T("   852610")</f>
        <v xml:space="preserve">   852610</v>
      </c>
      <c r="B2242" t="str">
        <f>T("   Appareils de radiodetection et de radiosondage (radar)")</f>
        <v xml:space="preserve">   Appareils de radiodetection et de radiosondage (radar)</v>
      </c>
      <c r="C2242">
        <v>1</v>
      </c>
      <c r="D2242">
        <v>1863318</v>
      </c>
    </row>
    <row r="2243" spans="1:4" x14ac:dyDescent="0.25">
      <c r="A2243" t="str">
        <f>T("   852691")</f>
        <v xml:space="preserve">   852691</v>
      </c>
      <c r="B2243" t="str">
        <f>T("   Appareils de radionavigation")</f>
        <v xml:space="preserve">   Appareils de radionavigation</v>
      </c>
      <c r="C2243">
        <v>16</v>
      </c>
      <c r="D2243">
        <v>327980</v>
      </c>
    </row>
    <row r="2244" spans="1:4" x14ac:dyDescent="0.25">
      <c r="A2244" t="str">
        <f>T("   852812")</f>
        <v xml:space="preserve">   852812</v>
      </c>
      <c r="B2244" t="str">
        <f>T("   APPAREILS RECEPTEURS DE TELEVISION EN COULEUR")</f>
        <v xml:space="preserve">   APPAREILS RECEPTEURS DE TELEVISION EN COULEUR</v>
      </c>
      <c r="C2244">
        <v>5370</v>
      </c>
      <c r="D2244">
        <v>6080000</v>
      </c>
    </row>
    <row r="2245" spans="1:4" x14ac:dyDescent="0.25">
      <c r="A2245" t="str">
        <f>T("   852849")</f>
        <v xml:space="preserve">   852849</v>
      </c>
      <c r="B2245" t="str">
        <f>T("   AUTRES")</f>
        <v xml:space="preserve">   AUTRES</v>
      </c>
      <c r="C2245">
        <v>20</v>
      </c>
      <c r="D2245">
        <v>50000</v>
      </c>
    </row>
    <row r="2246" spans="1:4" x14ac:dyDescent="0.25">
      <c r="A2246" t="str">
        <f>T("   852910")</f>
        <v xml:space="preserve">   852910</v>
      </c>
      <c r="B2246" t="str">
        <f>T("   ANTENNES ET REFLECTEURS D’ANTENNES DE TOUS TYPES; PARTIES RECONNAISSABLES COMME ETANT")</f>
        <v xml:space="preserve">   ANTENNES ET REFLECTEURS D’ANTENNES DE TOUS TYPES; PARTIES RECONNAISSABLES COMME ETANT</v>
      </c>
      <c r="C2246">
        <v>1</v>
      </c>
      <c r="D2246">
        <v>426374</v>
      </c>
    </row>
    <row r="2247" spans="1:4" x14ac:dyDescent="0.25">
      <c r="A2247" t="str">
        <f>T("   852990")</f>
        <v xml:space="preserve">   852990</v>
      </c>
      <c r="B2247" t="str">
        <f>T("   AUTRES")</f>
        <v xml:space="preserve">   AUTRES</v>
      </c>
      <c r="C2247">
        <v>432</v>
      </c>
      <c r="D2247">
        <v>134742753</v>
      </c>
    </row>
    <row r="2248" spans="1:4" x14ac:dyDescent="0.25">
      <c r="A2248" t="str">
        <f>T("   853180")</f>
        <v xml:space="preserve">   853180</v>
      </c>
      <c r="B2248" t="str">
        <f>T("   AUTRES APPAREILS")</f>
        <v xml:space="preserve">   AUTRES APPAREILS</v>
      </c>
      <c r="C2248">
        <v>514</v>
      </c>
      <c r="D2248">
        <v>708120</v>
      </c>
    </row>
    <row r="2249" spans="1:4" x14ac:dyDescent="0.25">
      <c r="A2249" t="str">
        <f>T("   853510")</f>
        <v xml:space="preserve">   853510</v>
      </c>
      <c r="B2249" t="str">
        <f>T("   FUSIBLES ET COUPECIRCUIT A FUSIBLES")</f>
        <v xml:space="preserve">   FUSIBLES ET COUPECIRCUIT A FUSIBLES</v>
      </c>
      <c r="C2249">
        <v>2</v>
      </c>
      <c r="D2249">
        <v>11347826</v>
      </c>
    </row>
    <row r="2250" spans="1:4" x14ac:dyDescent="0.25">
      <c r="A2250" t="str">
        <f>T("   853590")</f>
        <v xml:space="preserve">   853590</v>
      </c>
      <c r="B2250" t="str">
        <f>T("   AUTRES")</f>
        <v xml:space="preserve">   AUTRES</v>
      </c>
      <c r="C2250">
        <v>1</v>
      </c>
      <c r="D2250">
        <v>1328745</v>
      </c>
    </row>
    <row r="2251" spans="1:4" x14ac:dyDescent="0.25">
      <c r="A2251" t="str">
        <f>T("   853641")</f>
        <v xml:space="preserve">   853641</v>
      </c>
      <c r="B2251" t="str">
        <f>T("   POUR UNE TENSION N'EXCEDANT PAS 60 V")</f>
        <v xml:space="preserve">   POUR UNE TENSION N'EXCEDANT PAS 60 V</v>
      </c>
      <c r="C2251">
        <v>1106</v>
      </c>
      <c r="D2251">
        <v>16374804</v>
      </c>
    </row>
    <row r="2252" spans="1:4" x14ac:dyDescent="0.25">
      <c r="A2252" t="str">
        <f>T("   853650")</f>
        <v xml:space="preserve">   853650</v>
      </c>
      <c r="B2252" t="str">
        <f>T("   AUTRES INTERRUPTEURS, SECTIONNEURS ET COMMUTATEURS")</f>
        <v xml:space="preserve">   AUTRES INTERRUPTEURS, SECTIONNEURS ET COMMUTATEURS</v>
      </c>
      <c r="C2252">
        <v>2.0499999999999998</v>
      </c>
      <c r="D2252">
        <v>2053063</v>
      </c>
    </row>
    <row r="2253" spans="1:4" x14ac:dyDescent="0.25">
      <c r="A2253" t="str">
        <f>T("   853669")</f>
        <v xml:space="preserve">   853669</v>
      </c>
      <c r="B2253" t="str">
        <f>T("   AUTRES")</f>
        <v xml:space="preserve">   AUTRES</v>
      </c>
      <c r="C2253">
        <v>26</v>
      </c>
      <c r="D2253">
        <v>36258824</v>
      </c>
    </row>
    <row r="2254" spans="1:4" x14ac:dyDescent="0.25">
      <c r="A2254" t="str">
        <f>T("   853690")</f>
        <v xml:space="preserve">   853690</v>
      </c>
      <c r="B2254" t="str">
        <f>T("   AUTRES APPAREILS")</f>
        <v xml:space="preserve">   AUTRES APPAREILS</v>
      </c>
      <c r="C2254">
        <v>18975.060000000001</v>
      </c>
      <c r="D2254">
        <v>1298452034</v>
      </c>
    </row>
    <row r="2255" spans="1:4" x14ac:dyDescent="0.25">
      <c r="A2255" t="str">
        <f>T("   853710")</f>
        <v xml:space="preserve">   853710</v>
      </c>
      <c r="B2255" t="str">
        <f>T("   POUR UNE TENSION N'EXCEDANT PAS 1.000 V")</f>
        <v xml:space="preserve">   POUR UNE TENSION N'EXCEDANT PAS 1.000 V</v>
      </c>
      <c r="C2255">
        <v>6229</v>
      </c>
      <c r="D2255">
        <v>43990811</v>
      </c>
    </row>
    <row r="2256" spans="1:4" x14ac:dyDescent="0.25">
      <c r="A2256" t="str">
        <f>T("   853890")</f>
        <v xml:space="preserve">   853890</v>
      </c>
      <c r="B2256" t="str">
        <f>T("   AUTRES")</f>
        <v xml:space="preserve">   AUTRES</v>
      </c>
      <c r="C2256">
        <v>23</v>
      </c>
      <c r="D2256">
        <v>517316</v>
      </c>
    </row>
    <row r="2257" spans="1:4" x14ac:dyDescent="0.25">
      <c r="A2257" t="str">
        <f>T("   853910")</f>
        <v xml:space="preserve">   853910</v>
      </c>
      <c r="B2257" t="str">
        <f>T("   ARTICLES DITS «PHARES ET PROJECTEURS SCELLES»")</f>
        <v xml:space="preserve">   ARTICLES DITS «PHARES ET PROJECTEURS SCELLES»</v>
      </c>
      <c r="C2257">
        <v>2920</v>
      </c>
      <c r="D2257">
        <v>2265427</v>
      </c>
    </row>
    <row r="2258" spans="1:4" x14ac:dyDescent="0.25">
      <c r="A2258" t="str">
        <f>T("   853922")</f>
        <v xml:space="preserve">   853922</v>
      </c>
      <c r="B2258" t="str">
        <f>T("   AUTRES, D’UNE PUISSANCE N’EXCEDANT PAS 200 W ET D’UNE TENSION EXCEDANT 100 V")</f>
        <v xml:space="preserve">   AUTRES, D’UNE PUISSANCE N’EXCEDANT PAS 200 W ET D’UNE TENSION EXCEDANT 100 V</v>
      </c>
      <c r="C2258">
        <v>100</v>
      </c>
      <c r="D2258">
        <v>5400747</v>
      </c>
    </row>
    <row r="2259" spans="1:4" x14ac:dyDescent="0.25">
      <c r="A2259" t="str">
        <f>T("   853931")</f>
        <v xml:space="preserve">   853931</v>
      </c>
      <c r="B2259" t="str">
        <f>T("   FLUORESCENTS, A CATHODE CHAUDE")</f>
        <v xml:space="preserve">   FLUORESCENTS, A CATHODE CHAUDE</v>
      </c>
      <c r="C2259">
        <v>2139</v>
      </c>
      <c r="D2259">
        <v>1420565</v>
      </c>
    </row>
    <row r="2260" spans="1:4" x14ac:dyDescent="0.25">
      <c r="A2260" t="str">
        <f>T("   853939")</f>
        <v xml:space="preserve">   853939</v>
      </c>
      <c r="B2260" t="str">
        <f>T("   AUTRES")</f>
        <v xml:space="preserve">   AUTRES</v>
      </c>
      <c r="C2260">
        <v>17</v>
      </c>
      <c r="D2260">
        <v>510779</v>
      </c>
    </row>
    <row r="2261" spans="1:4" x14ac:dyDescent="0.25">
      <c r="A2261" t="str">
        <f>T("   853949")</f>
        <v xml:space="preserve">   853949</v>
      </c>
      <c r="B2261" t="str">
        <f>T("   AUTRES")</f>
        <v xml:space="preserve">   AUTRES</v>
      </c>
      <c r="C2261">
        <v>1440</v>
      </c>
      <c r="D2261">
        <v>3186534</v>
      </c>
    </row>
    <row r="2262" spans="1:4" x14ac:dyDescent="0.25">
      <c r="A2262" t="str">
        <f>T("   854231")</f>
        <v xml:space="preserve">   854231</v>
      </c>
      <c r="B2262" t="str">
        <f>T("   PROCESSEURS ET CONTROLEURS, MEME COMBINES AVEC DES MEMOIRES, DES CONVERTISSEURS, DES")</f>
        <v xml:space="preserve">   PROCESSEURS ET CONTROLEURS, MEME COMBINES AVEC DES MEMOIRES, DES CONVERTISSEURS, DES</v>
      </c>
      <c r="C2262">
        <v>250</v>
      </c>
      <c r="D2262">
        <v>124474</v>
      </c>
    </row>
    <row r="2263" spans="1:4" x14ac:dyDescent="0.25">
      <c r="A2263" t="str">
        <f>T("   854320")</f>
        <v xml:space="preserve">   854320</v>
      </c>
      <c r="B2263" t="str">
        <f>T("   GENERATEURS DE SIGNAUX")</f>
        <v xml:space="preserve">   GENERATEURS DE SIGNAUX</v>
      </c>
      <c r="C2263">
        <v>25</v>
      </c>
      <c r="D2263">
        <v>744746</v>
      </c>
    </row>
    <row r="2264" spans="1:4" x14ac:dyDescent="0.25">
      <c r="A2264" t="str">
        <f>T("   854370")</f>
        <v xml:space="preserve">   854370</v>
      </c>
      <c r="B2264" t="str">
        <f>T("   AUTRES MACHINES ET APPAREILS")</f>
        <v xml:space="preserve">   AUTRES MACHINES ET APPAREILS</v>
      </c>
      <c r="C2264">
        <v>57.75</v>
      </c>
      <c r="D2264">
        <v>42261941</v>
      </c>
    </row>
    <row r="2265" spans="1:4" x14ac:dyDescent="0.25">
      <c r="A2265" t="str">
        <f>T("   854419")</f>
        <v xml:space="preserve">   854419</v>
      </c>
      <c r="B2265" t="str">
        <f>T("   AUTRES")</f>
        <v xml:space="preserve">   AUTRES</v>
      </c>
      <c r="C2265">
        <v>116</v>
      </c>
      <c r="D2265">
        <v>2236549</v>
      </c>
    </row>
    <row r="2266" spans="1:4" x14ac:dyDescent="0.25">
      <c r="A2266" t="str">
        <f>T("   854420")</f>
        <v xml:space="preserve">   854420</v>
      </c>
      <c r="B2266" t="str">
        <f>T("   Cables coaxiaux et autres conducteurs electriques coaxiaux")</f>
        <v xml:space="preserve">   Cables coaxiaux et autres conducteurs electriques coaxiaux</v>
      </c>
      <c r="C2266">
        <v>27512.5</v>
      </c>
      <c r="D2266">
        <v>69177401</v>
      </c>
    </row>
    <row r="2267" spans="1:4" x14ac:dyDescent="0.25">
      <c r="A2267" t="str">
        <f>T("   854430")</f>
        <v xml:space="preserve">   854430</v>
      </c>
      <c r="B2267" t="str">
        <f>T("   JEUX DE FILS POUR BOUGIES D'ALLUMAGE ET AUTRES JEUX DE FILS DES TYPES UTILISES DANS L")</f>
        <v xml:space="preserve">   JEUX DE FILS POUR BOUGIES D'ALLUMAGE ET AUTRES JEUX DE FILS DES TYPES UTILISES DANS L</v>
      </c>
      <c r="C2267">
        <v>5</v>
      </c>
      <c r="D2267">
        <v>3185295</v>
      </c>
    </row>
    <row r="2268" spans="1:4" x14ac:dyDescent="0.25">
      <c r="A2268" t="str">
        <f>T("   854442")</f>
        <v xml:space="preserve">   854442</v>
      </c>
      <c r="B2268" t="str">
        <f>T("   MUNIS DE PIECES DE CONNEXION")</f>
        <v xml:space="preserve">   MUNIS DE PIECES DE CONNEXION</v>
      </c>
      <c r="C2268">
        <v>1</v>
      </c>
      <c r="D2268">
        <v>20991</v>
      </c>
    </row>
    <row r="2269" spans="1:4" x14ac:dyDescent="0.25">
      <c r="A2269" t="str">
        <f>T("   854470")</f>
        <v xml:space="preserve">   854470</v>
      </c>
      <c r="B2269" t="str">
        <f>T("   Cables de fibres optiques")</f>
        <v xml:space="preserve">   Cables de fibres optiques</v>
      </c>
      <c r="C2269">
        <v>10532</v>
      </c>
      <c r="D2269">
        <v>54640357</v>
      </c>
    </row>
    <row r="2270" spans="1:4" x14ac:dyDescent="0.25">
      <c r="A2270" t="str">
        <f>T("   854810")</f>
        <v xml:space="preserve">   854810</v>
      </c>
      <c r="B2270" t="str">
        <f>T("   DECHETS ET DEBRIS DE PILES, DE BATTERIES DE PILES ET D'ACCUMULATEURS ELECTRIQUES; PIL")</f>
        <v xml:space="preserve">   DECHETS ET DEBRIS DE PILES, DE BATTERIES DE PILES ET D'ACCUMULATEURS ELECTRIQUES; PIL</v>
      </c>
      <c r="C2270">
        <v>10000</v>
      </c>
      <c r="D2270">
        <v>1000000</v>
      </c>
    </row>
    <row r="2271" spans="1:4" x14ac:dyDescent="0.25">
      <c r="A2271" t="str">
        <f>T("   854890")</f>
        <v xml:space="preserve">   854890</v>
      </c>
      <c r="B2271" t="str">
        <f>T("   AUTRES")</f>
        <v xml:space="preserve">   AUTRES</v>
      </c>
      <c r="C2271">
        <v>78022</v>
      </c>
      <c r="D2271">
        <v>562317</v>
      </c>
    </row>
    <row r="2272" spans="1:4" x14ac:dyDescent="0.25">
      <c r="A2272" t="str">
        <f>T("   860290")</f>
        <v xml:space="preserve">   860290</v>
      </c>
      <c r="B2272" t="str">
        <f>T("   AUTRES")</f>
        <v xml:space="preserve">   AUTRES</v>
      </c>
      <c r="C2272">
        <v>80000</v>
      </c>
      <c r="D2272">
        <v>263111625</v>
      </c>
    </row>
    <row r="2273" spans="1:4" x14ac:dyDescent="0.25">
      <c r="A2273" t="str">
        <f>T("   860400")</f>
        <v xml:space="preserve">   860400</v>
      </c>
      <c r="B2273" t="str">
        <f>T("   VEHICULES POUR L'ENTRETIEN OU LE SERVICE DES VOIES FERREES OU SIMILAIRES, MEME AUTOPROP")</f>
        <v xml:space="preserve">   VEHICULES POUR L'ENTRETIEN OU LE SERVICE DES VOIES FERREES OU SIMILAIRES, MEME AUTOPROP</v>
      </c>
      <c r="C2273">
        <v>28000</v>
      </c>
      <c r="D2273">
        <v>77605316</v>
      </c>
    </row>
    <row r="2274" spans="1:4" x14ac:dyDescent="0.25">
      <c r="A2274" t="str">
        <f>T("   860610")</f>
        <v xml:space="preserve">   860610</v>
      </c>
      <c r="B2274" t="str">
        <f>T("   WAGONSCITERNES ET SIMILAIRES")</f>
        <v xml:space="preserve">   WAGONSCITERNES ET SIMILAIRES</v>
      </c>
      <c r="C2274">
        <v>8000</v>
      </c>
      <c r="D2274">
        <v>16071020</v>
      </c>
    </row>
    <row r="2275" spans="1:4" x14ac:dyDescent="0.25">
      <c r="A2275" t="str">
        <f>T("   860900")</f>
        <v xml:space="preserve">   860900</v>
      </c>
      <c r="B2275" t="str">
        <f>T("   CADRES ET CONTENEURS (Y COMPRIS LES CONTENEURSCITERNES ET LES CONTENEURSRESERVOIRS) S")</f>
        <v xml:space="preserve">   CADRES ET CONTENEURS (Y COMPRIS LES CONTENEURSCITERNES ET LES CONTENEURSRESERVOIRS) S</v>
      </c>
      <c r="C2275">
        <v>713952</v>
      </c>
      <c r="D2275">
        <v>1657637371</v>
      </c>
    </row>
    <row r="2276" spans="1:4" x14ac:dyDescent="0.25">
      <c r="A2276" t="str">
        <f>T("   870120")</f>
        <v xml:space="preserve">   870120</v>
      </c>
      <c r="B2276" t="str">
        <f>T("   TRACTEURS ROUTIERS POUR SEMIREMORQUES")</f>
        <v xml:space="preserve">   TRACTEURS ROUTIERS POUR SEMIREMORQUES</v>
      </c>
      <c r="C2276">
        <v>248096</v>
      </c>
      <c r="D2276">
        <v>114311471</v>
      </c>
    </row>
    <row r="2277" spans="1:4" x14ac:dyDescent="0.25">
      <c r="A2277" t="str">
        <f>T("   870130")</f>
        <v xml:space="preserve">   870130</v>
      </c>
      <c r="B2277" t="str">
        <f>T("   TRACTEURS A CHENILLES")</f>
        <v xml:space="preserve">   TRACTEURS A CHENILLES</v>
      </c>
      <c r="C2277">
        <v>13299</v>
      </c>
      <c r="D2277">
        <v>73502812</v>
      </c>
    </row>
    <row r="2278" spans="1:4" x14ac:dyDescent="0.25">
      <c r="A2278" t="str">
        <f>T("   870190")</f>
        <v xml:space="preserve">   870190</v>
      </c>
      <c r="B2278" t="str">
        <f>T("   AUTRES")</f>
        <v xml:space="preserve">   AUTRES</v>
      </c>
      <c r="C2278">
        <v>14045</v>
      </c>
      <c r="D2278">
        <v>37434798</v>
      </c>
    </row>
    <row r="2279" spans="1:4" x14ac:dyDescent="0.25">
      <c r="A2279" t="str">
        <f>T("   870210")</f>
        <v xml:space="preserve">   870210</v>
      </c>
      <c r="B2279" t="str">
        <f>T("   A MOTEUR A PISTON A ALLUMAGE PAR COMPRESSION (DIESEL OU SEMIDIESEL)")</f>
        <v xml:space="preserve">   A MOTEUR A PISTON A ALLUMAGE PAR COMPRESSION (DIESEL OU SEMIDIESEL)</v>
      </c>
      <c r="C2279">
        <v>2550</v>
      </c>
      <c r="D2279">
        <v>4042845</v>
      </c>
    </row>
    <row r="2280" spans="1:4" x14ac:dyDescent="0.25">
      <c r="A2280" t="str">
        <f>T("   870322")</f>
        <v xml:space="preserve">   870322</v>
      </c>
      <c r="B2280" t="str">
        <f>T("   D’UNE CYLINDREE EXCEDANT 1.000 CM³ MAIS N’EXCEDANT PAS 1.500 CM³")</f>
        <v xml:space="preserve">   D’UNE CYLINDREE EXCEDANT 1.000 CM³ MAIS N’EXCEDANT PAS 1.500 CM³</v>
      </c>
      <c r="C2280">
        <v>34024</v>
      </c>
      <c r="D2280">
        <v>75050310</v>
      </c>
    </row>
    <row r="2281" spans="1:4" x14ac:dyDescent="0.25">
      <c r="A2281" t="str">
        <f>T("   870323")</f>
        <v xml:space="preserve">   870323</v>
      </c>
      <c r="B2281" t="str">
        <f>T("   D’UNE CYLINDREE EXCEDANT 1.500 CM³ MAIS N’EXCEDANT PAS 3.000 CM³")</f>
        <v xml:space="preserve">   D’UNE CYLINDREE EXCEDANT 1.500 CM³ MAIS N’EXCEDANT PAS 3.000 CM³</v>
      </c>
      <c r="C2281">
        <v>81808</v>
      </c>
      <c r="D2281">
        <v>189597961</v>
      </c>
    </row>
    <row r="2282" spans="1:4" x14ac:dyDescent="0.25">
      <c r="A2282" t="str">
        <f>T("   870324")</f>
        <v xml:space="preserve">   870324</v>
      </c>
      <c r="B2282" t="str">
        <f>T("   D’UNE CYLINDREE EXCEDANT 3.000 CM³")</f>
        <v xml:space="preserve">   D’UNE CYLINDREE EXCEDANT 3.000 CM³</v>
      </c>
      <c r="C2282">
        <v>54641</v>
      </c>
      <c r="D2282">
        <v>570007713</v>
      </c>
    </row>
    <row r="2283" spans="1:4" x14ac:dyDescent="0.25">
      <c r="A2283" t="str">
        <f>T("   870333")</f>
        <v xml:space="preserve">   870333</v>
      </c>
      <c r="B2283" t="str">
        <f>T("   D'UNE CYLINDREE EXCEDANT 2.500 CM³")</f>
        <v xml:space="preserve">   D'UNE CYLINDREE EXCEDANT 2.500 CM³</v>
      </c>
      <c r="C2283">
        <v>10510</v>
      </c>
      <c r="D2283">
        <v>122616328</v>
      </c>
    </row>
    <row r="2284" spans="1:4" x14ac:dyDescent="0.25">
      <c r="A2284" t="str">
        <f>T("   870390")</f>
        <v xml:space="preserve">   870390</v>
      </c>
      <c r="B2284" t="str">
        <f>T("   AUTRES")</f>
        <v xml:space="preserve">   AUTRES</v>
      </c>
      <c r="C2284">
        <v>2000</v>
      </c>
      <c r="D2284">
        <v>13119200</v>
      </c>
    </row>
    <row r="2285" spans="1:4" x14ac:dyDescent="0.25">
      <c r="A2285" t="str">
        <f>T("   870410")</f>
        <v xml:space="preserve">   870410</v>
      </c>
      <c r="B2285" t="str">
        <f>T("   TOMBEREAUX AUTOMOTEURS CONCUS POUR ETRE UTILISES EN DEHORS DU RESEAU ROUTIER")</f>
        <v xml:space="preserve">   TOMBEREAUX AUTOMOTEURS CONCUS POUR ETRE UTILISES EN DEHORS DU RESEAU ROUTIER</v>
      </c>
      <c r="C2285">
        <v>264800</v>
      </c>
      <c r="D2285">
        <v>1497375112</v>
      </c>
    </row>
    <row r="2286" spans="1:4" x14ac:dyDescent="0.25">
      <c r="A2286" t="str">
        <f>T("   870421")</f>
        <v xml:space="preserve">   870421</v>
      </c>
      <c r="B2286" t="str">
        <f>T("   D'UN POIDS EN CHARGE MAXIMAL N'EXCEDANT PAS 5 TONNES")</f>
        <v xml:space="preserve">   D'UN POIDS EN CHARGE MAXIMAL N'EXCEDANT PAS 5 TONNES</v>
      </c>
      <c r="C2286">
        <v>7750</v>
      </c>
      <c r="D2286">
        <v>23317527</v>
      </c>
    </row>
    <row r="2287" spans="1:4" x14ac:dyDescent="0.25">
      <c r="A2287" t="str">
        <f>T("   870422")</f>
        <v xml:space="preserve">   870422</v>
      </c>
      <c r="B2287" t="str">
        <f>T("   D'UN POIDS EN CHARGE MAXIMAL EXCEDANT 5 TONNES MAIS N'EXCEDANT PAS 20 TONNES")</f>
        <v xml:space="preserve">   D'UN POIDS EN CHARGE MAXIMAL EXCEDANT 5 TONNES MAIS N'EXCEDANT PAS 20 TONNES</v>
      </c>
      <c r="C2287">
        <v>297386</v>
      </c>
      <c r="D2287">
        <v>426338335</v>
      </c>
    </row>
    <row r="2288" spans="1:4" x14ac:dyDescent="0.25">
      <c r="A2288" t="str">
        <f>T("   870423")</f>
        <v xml:space="preserve">   870423</v>
      </c>
      <c r="B2288" t="str">
        <f>T("   D'UN POIDS EN CHARGE MAXIMAL EXCEDANT 20 TONNES")</f>
        <v xml:space="preserve">   D'UN POIDS EN CHARGE MAXIMAL EXCEDANT 20 TONNES</v>
      </c>
      <c r="C2288">
        <v>69800</v>
      </c>
      <c r="D2288">
        <v>100541923</v>
      </c>
    </row>
    <row r="2289" spans="1:4" x14ac:dyDescent="0.25">
      <c r="A2289" t="str">
        <f>T("   870431")</f>
        <v xml:space="preserve">   870431</v>
      </c>
      <c r="B2289" t="str">
        <f>T("   D'UN POIDS EN CHARGE MAXIMAL N'EXCEDANT PAS 5 TONNES")</f>
        <v xml:space="preserve">   D'UN POIDS EN CHARGE MAXIMAL N'EXCEDANT PAS 5 TONNES</v>
      </c>
      <c r="C2289">
        <v>6840</v>
      </c>
      <c r="D2289">
        <v>15555149</v>
      </c>
    </row>
    <row r="2290" spans="1:4" x14ac:dyDescent="0.25">
      <c r="A2290" t="str">
        <f>T("   870510")</f>
        <v xml:space="preserve">   870510</v>
      </c>
      <c r="B2290" t="str">
        <f>T("   CAMIONSGRUES")</f>
        <v xml:space="preserve">   CAMIONSGRUES</v>
      </c>
      <c r="C2290">
        <v>317060</v>
      </c>
      <c r="D2290">
        <v>138093556</v>
      </c>
    </row>
    <row r="2291" spans="1:4" x14ac:dyDescent="0.25">
      <c r="A2291" t="str">
        <f>T("   870520")</f>
        <v xml:space="preserve">   870520</v>
      </c>
      <c r="B2291" t="str">
        <f>T("   Derricks automobiles pour le sondage ou le forage")</f>
        <v xml:space="preserve">   Derricks automobiles pour le sondage ou le forage</v>
      </c>
      <c r="C2291">
        <v>51910</v>
      </c>
      <c r="D2291">
        <v>40070874</v>
      </c>
    </row>
    <row r="2292" spans="1:4" x14ac:dyDescent="0.25">
      <c r="A2292" t="str">
        <f>T("   870540")</f>
        <v xml:space="preserve">   870540</v>
      </c>
      <c r="B2292" t="str">
        <f>T("   CAMIONSBETONNIERES")</f>
        <v xml:space="preserve">   CAMIONSBETONNIERES</v>
      </c>
      <c r="C2292">
        <v>118487</v>
      </c>
      <c r="D2292">
        <v>35872101</v>
      </c>
    </row>
    <row r="2293" spans="1:4" x14ac:dyDescent="0.25">
      <c r="A2293" t="str">
        <f>T("   870590")</f>
        <v xml:space="preserve">   870590</v>
      </c>
      <c r="B2293" t="str">
        <f>T("   AUTRES")</f>
        <v xml:space="preserve">   AUTRES</v>
      </c>
      <c r="C2293">
        <v>39916</v>
      </c>
      <c r="D2293">
        <v>48576310</v>
      </c>
    </row>
    <row r="2294" spans="1:4" x14ac:dyDescent="0.25">
      <c r="A2294" t="str">
        <f>T("   870840")</f>
        <v xml:space="preserve">   870840</v>
      </c>
      <c r="B2294" t="str">
        <f>T("   BOITES DE VITESSES ET LEURS PARTIES")</f>
        <v xml:space="preserve">   BOITES DE VITESSES ET LEURS PARTIES</v>
      </c>
      <c r="C2294">
        <v>1000</v>
      </c>
      <c r="D2294">
        <v>2623840</v>
      </c>
    </row>
    <row r="2295" spans="1:4" x14ac:dyDescent="0.25">
      <c r="A2295" t="str">
        <f>T("   870899")</f>
        <v xml:space="preserve">   870899</v>
      </c>
      <c r="B2295" t="str">
        <f>T("   AUTRES")</f>
        <v xml:space="preserve">   AUTRES</v>
      </c>
      <c r="C2295">
        <v>18732</v>
      </c>
      <c r="D2295">
        <v>99220879</v>
      </c>
    </row>
    <row r="2296" spans="1:4" x14ac:dyDescent="0.25">
      <c r="A2296" t="str">
        <f>T("   870919")</f>
        <v xml:space="preserve">   870919</v>
      </c>
      <c r="B2296" t="str">
        <f>T("   AUTRES")</f>
        <v xml:space="preserve">   AUTRES</v>
      </c>
      <c r="C2296">
        <v>1200</v>
      </c>
      <c r="D2296">
        <v>2100000</v>
      </c>
    </row>
    <row r="2297" spans="1:4" x14ac:dyDescent="0.25">
      <c r="A2297" t="str">
        <f>T("   871110")</f>
        <v xml:space="preserve">   871110</v>
      </c>
      <c r="B2297" t="str">
        <f>T("   A MOTEUR A PISTON ALTERNATIF, D'UNE CYLINDREE N'EXCEDANT PAS 50 CM³")</f>
        <v xml:space="preserve">   A MOTEUR A PISTON ALTERNATIF, D'UNE CYLINDREE N'EXCEDANT PAS 50 CM³</v>
      </c>
      <c r="C2297">
        <v>844</v>
      </c>
      <c r="D2297">
        <v>630000</v>
      </c>
    </row>
    <row r="2298" spans="1:4" x14ac:dyDescent="0.25">
      <c r="A2298" t="str">
        <f>T("   871120")</f>
        <v xml:space="preserve">   871120</v>
      </c>
      <c r="B2298" t="str">
        <f>T("   A MOTEUR A PISTON ALTERNATIF, D'UNE CYLINDREE EXCEDANT 50 CM³ MAIS N'EXCEDANT PAS 250")</f>
        <v xml:space="preserve">   A MOTEUR A PISTON ALTERNATIF, D'UNE CYLINDREE EXCEDANT 50 CM³ MAIS N'EXCEDANT PAS 250</v>
      </c>
      <c r="C2298">
        <v>1629</v>
      </c>
      <c r="D2298">
        <v>2991809</v>
      </c>
    </row>
    <row r="2299" spans="1:4" x14ac:dyDescent="0.25">
      <c r="A2299" t="str">
        <f>T("   871190")</f>
        <v xml:space="preserve">   871190</v>
      </c>
      <c r="B2299" t="str">
        <f>T("   AUTRES")</f>
        <v xml:space="preserve">   AUTRES</v>
      </c>
      <c r="C2299">
        <v>6045</v>
      </c>
      <c r="D2299">
        <v>3925000</v>
      </c>
    </row>
    <row r="2300" spans="1:4" x14ac:dyDescent="0.25">
      <c r="A2300" t="str">
        <f>T("   871200")</f>
        <v xml:space="preserve">   871200</v>
      </c>
      <c r="B2300" t="str">
        <f>T("   BICYCLETTES ET AUTRES CYCLES (Y COMPRIS LES TRIPORTEURS), SANS MOTEUR.")</f>
        <v xml:space="preserve">   BICYCLETTES ET AUTRES CYCLES (Y COMPRIS LES TRIPORTEURS), SANS MOTEUR.</v>
      </c>
      <c r="C2300">
        <v>10</v>
      </c>
      <c r="D2300">
        <v>491970</v>
      </c>
    </row>
    <row r="2301" spans="1:4" x14ac:dyDescent="0.25">
      <c r="A2301" t="str">
        <f>T("   871411")</f>
        <v xml:space="preserve">   871411</v>
      </c>
      <c r="B2301" t="str">
        <f>T("   SELLES")</f>
        <v xml:space="preserve">   SELLES</v>
      </c>
      <c r="C2301">
        <v>225</v>
      </c>
      <c r="D2301">
        <v>348527</v>
      </c>
    </row>
    <row r="2302" spans="1:4" x14ac:dyDescent="0.25">
      <c r="A2302" t="str">
        <f>T("   871610")</f>
        <v xml:space="preserve">   871610</v>
      </c>
      <c r="B2302" t="str">
        <f>T("   REMORQUES ET SEMIREMORQUES POUR L'HABITATION OU LE CAMPING, DU TYPE CARAVANE")</f>
        <v xml:space="preserve">   REMORQUES ET SEMIREMORQUES POUR L'HABITATION OU LE CAMPING, DU TYPE CARAVANE</v>
      </c>
      <c r="C2302">
        <v>58500</v>
      </c>
      <c r="D2302">
        <v>4000000</v>
      </c>
    </row>
    <row r="2303" spans="1:4" x14ac:dyDescent="0.25">
      <c r="A2303" t="str">
        <f>T("   871639")</f>
        <v xml:space="preserve">   871639</v>
      </c>
      <c r="B2303" t="str">
        <f>T("   AUTRES")</f>
        <v xml:space="preserve">   AUTRES</v>
      </c>
      <c r="C2303">
        <v>9960</v>
      </c>
      <c r="D2303">
        <v>25000000</v>
      </c>
    </row>
    <row r="2304" spans="1:4" x14ac:dyDescent="0.25">
      <c r="A2304" t="str">
        <f>T("   871640")</f>
        <v xml:space="preserve">   871640</v>
      </c>
      <c r="B2304" t="str">
        <f>T("   AUTRES REMORQUES ET SEMIREMORQUES")</f>
        <v xml:space="preserve">   AUTRES REMORQUES ET SEMIREMORQUES</v>
      </c>
      <c r="C2304">
        <v>100600</v>
      </c>
      <c r="D2304">
        <v>96222180</v>
      </c>
    </row>
    <row r="2305" spans="1:4" x14ac:dyDescent="0.25">
      <c r="A2305" t="str">
        <f>T("   871680")</f>
        <v xml:space="preserve">   871680</v>
      </c>
      <c r="B2305" t="str">
        <f>T("   AUTRES VEHICULES")</f>
        <v xml:space="preserve">   AUTRES VEHICULES</v>
      </c>
      <c r="C2305">
        <v>11000</v>
      </c>
      <c r="D2305">
        <v>4723039</v>
      </c>
    </row>
    <row r="2306" spans="1:4" x14ac:dyDescent="0.25">
      <c r="A2306" t="str">
        <f>T("   880211")</f>
        <v xml:space="preserve">   880211</v>
      </c>
      <c r="B2306" t="str">
        <f>T("   D'UN POIDS A VIDE N'EXCEDANT PAS 2.000 KG")</f>
        <v xml:space="preserve">   D'UN POIDS A VIDE N'EXCEDANT PAS 2.000 KG</v>
      </c>
      <c r="C2306">
        <v>350</v>
      </c>
      <c r="D2306">
        <v>11243595860</v>
      </c>
    </row>
    <row r="2307" spans="1:4" x14ac:dyDescent="0.25">
      <c r="A2307" t="str">
        <f>T("   880212")</f>
        <v xml:space="preserve">   880212</v>
      </c>
      <c r="B2307" t="str">
        <f>T("   D'UN POIDS A VIDE EXCEDANT 2.000 KG")</f>
        <v xml:space="preserve">   D'UN POIDS A VIDE EXCEDANT 2.000 KG</v>
      </c>
      <c r="C2307">
        <v>10288</v>
      </c>
      <c r="D2307">
        <v>10995653474</v>
      </c>
    </row>
    <row r="2308" spans="1:4" x14ac:dyDescent="0.25">
      <c r="A2308" t="str">
        <f>T("   880220")</f>
        <v xml:space="preserve">   880220</v>
      </c>
      <c r="B2308" t="str">
        <f>T("   AVIONS ET AUTRES VEHICULES AERIENS, D'UN POIDS A VIDE N'EXCEDANT PAS 2.000 KG")</f>
        <v xml:space="preserve">   AVIONS ET AUTRES VEHICULES AERIENS, D'UN POIDS A VIDE N'EXCEDANT PAS 2.000 KG</v>
      </c>
      <c r="C2308">
        <v>350</v>
      </c>
      <c r="D2308">
        <v>983940</v>
      </c>
    </row>
    <row r="2309" spans="1:4" x14ac:dyDescent="0.25">
      <c r="A2309" t="str">
        <f>T("   880310")</f>
        <v xml:space="preserve">   880310</v>
      </c>
      <c r="B2309" t="str">
        <f>T("   HELICES ET ROTORS, ET LEURS PARTIES")</f>
        <v xml:space="preserve">   HELICES ET ROTORS, ET LEURS PARTIES</v>
      </c>
      <c r="C2309">
        <v>35</v>
      </c>
      <c r="D2309">
        <v>49924689</v>
      </c>
    </row>
    <row r="2310" spans="1:4" x14ac:dyDescent="0.25">
      <c r="A2310" t="str">
        <f>T("   880330")</f>
        <v xml:space="preserve">   880330</v>
      </c>
      <c r="B2310" t="str">
        <f>T("   AUTRES PARTIES D'AVIONS OU D'HELICOPTERES")</f>
        <v xml:space="preserve">   AUTRES PARTIES D'AVIONS OU D'HELICOPTERES</v>
      </c>
      <c r="C2310">
        <v>765.09</v>
      </c>
      <c r="D2310">
        <v>1354112118</v>
      </c>
    </row>
    <row r="2311" spans="1:4" x14ac:dyDescent="0.25">
      <c r="A2311" t="str">
        <f>T("   880390")</f>
        <v xml:space="preserve">   880390</v>
      </c>
      <c r="B2311" t="str">
        <f>T("   AUTRES")</f>
        <v xml:space="preserve">   AUTRES</v>
      </c>
      <c r="C2311">
        <v>13</v>
      </c>
      <c r="D2311">
        <v>18598523</v>
      </c>
    </row>
    <row r="2312" spans="1:4" x14ac:dyDescent="0.25">
      <c r="A2312" t="str">
        <f>T("   890110")</f>
        <v xml:space="preserve">   890110</v>
      </c>
      <c r="B2312" t="str">
        <f>T("   PAQUEBOTS, BATEAUX DE CROISIERES ET BATEAUX SIMILAIRES PRINCIPALEMENT CONCUS POUR LE")</f>
        <v xml:space="preserve">   PAQUEBOTS, BATEAUX DE CROISIERES ET BATEAUX SIMILAIRES PRINCIPALEMENT CONCUS POUR LE</v>
      </c>
      <c r="C2312">
        <v>8000</v>
      </c>
      <c r="D2312">
        <v>162514090</v>
      </c>
    </row>
    <row r="2313" spans="1:4" x14ac:dyDescent="0.25">
      <c r="A2313" t="str">
        <f>T("   890190")</f>
        <v xml:space="preserve">   890190</v>
      </c>
      <c r="B2313" t="str">
        <f>T("   AUTRES BATEAUX POUR LE TRANSPORT DE MARCHANDISES ET AUTRES BATEAUX CONCUS A LA FOIS P")</f>
        <v xml:space="preserve">   AUTRES BATEAUX POUR LE TRANSPORT DE MARCHANDISES ET AUTRES BATEAUX CONCUS A LA FOIS P</v>
      </c>
      <c r="C2313">
        <v>16715</v>
      </c>
      <c r="D2313">
        <v>235430124</v>
      </c>
    </row>
    <row r="2314" spans="1:4" x14ac:dyDescent="0.25">
      <c r="A2314" t="str">
        <f>T("   890399")</f>
        <v xml:space="preserve">   890399</v>
      </c>
      <c r="B2314" t="str">
        <f>T("   AUTRES")</f>
        <v xml:space="preserve">   AUTRES</v>
      </c>
      <c r="C2314">
        <v>2801000</v>
      </c>
      <c r="D2314">
        <v>22025935824</v>
      </c>
    </row>
    <row r="2315" spans="1:4" x14ac:dyDescent="0.25">
      <c r="A2315" t="str">
        <f>T("   890520")</f>
        <v xml:space="preserve">   890520</v>
      </c>
      <c r="B2315" t="str">
        <f>T("   PLATESFORMES DE FORAGE OU D'EXPLOITATION, FLOTTANTES OU SUBMERSIBLES")</f>
        <v xml:space="preserve">   PLATESFORMES DE FORAGE OU D'EXPLOITATION, FLOTTANTES OU SUBMERSIBLES</v>
      </c>
      <c r="C2315">
        <v>483</v>
      </c>
      <c r="D2315">
        <v>24894800</v>
      </c>
    </row>
    <row r="2316" spans="1:4" x14ac:dyDescent="0.25">
      <c r="A2316" t="str">
        <f>T("   890690")</f>
        <v xml:space="preserve">   890690</v>
      </c>
      <c r="B2316" t="str">
        <f>T("   AUTRES")</f>
        <v xml:space="preserve">   AUTRES</v>
      </c>
      <c r="C2316">
        <v>42825</v>
      </c>
      <c r="D2316">
        <v>440049447</v>
      </c>
    </row>
    <row r="2317" spans="1:4" x14ac:dyDescent="0.25">
      <c r="A2317" t="str">
        <f>T("   890710")</f>
        <v xml:space="preserve">   890710</v>
      </c>
      <c r="B2317" t="str">
        <f>T("   RADEAUX GONFLABLES")</f>
        <v xml:space="preserve">   RADEAUX GONFLABLES</v>
      </c>
      <c r="C2317">
        <v>383</v>
      </c>
      <c r="D2317">
        <v>30182188</v>
      </c>
    </row>
    <row r="2318" spans="1:4" x14ac:dyDescent="0.25">
      <c r="A2318" t="str">
        <f>T("   890790")</f>
        <v xml:space="preserve">   890790</v>
      </c>
      <c r="B2318" t="str">
        <f>T("   AUTRES")</f>
        <v xml:space="preserve">   AUTRES</v>
      </c>
      <c r="C2318">
        <v>97.5</v>
      </c>
      <c r="D2318">
        <v>12953855</v>
      </c>
    </row>
    <row r="2319" spans="1:4" x14ac:dyDescent="0.25">
      <c r="A2319" t="str">
        <f>T("   890800")</f>
        <v xml:space="preserve">   890800</v>
      </c>
      <c r="B2319" t="str">
        <f>T("   BATEAUX ET AUTRES ENGINS FLOTTANTS A DEPECER.")</f>
        <v xml:space="preserve">   BATEAUX ET AUTRES ENGINS FLOTTANTS A DEPECER.</v>
      </c>
      <c r="C2319">
        <v>5100</v>
      </c>
      <c r="D2319">
        <v>7871520</v>
      </c>
    </row>
    <row r="2320" spans="1:4" x14ac:dyDescent="0.25">
      <c r="A2320" t="str">
        <f>T("   900490")</f>
        <v xml:space="preserve">   900490</v>
      </c>
      <c r="B2320" t="str">
        <f>T("   AUTRES")</f>
        <v xml:space="preserve">   AUTRES</v>
      </c>
      <c r="C2320">
        <v>0.5</v>
      </c>
      <c r="D2320">
        <v>56909</v>
      </c>
    </row>
    <row r="2321" spans="1:4" x14ac:dyDescent="0.25">
      <c r="A2321" t="str">
        <f>T("   900630")</f>
        <v xml:space="preserve">   900630</v>
      </c>
      <c r="B2321" t="str">
        <f>T("   APPAREILS PHOTOGRAPHIQUES SPECIALEMENT CONCUS POUR LA PHOTOGRAPHIE SOUSMARINE OU AER")</f>
        <v xml:space="preserve">   APPAREILS PHOTOGRAPHIQUES SPECIALEMENT CONCUS POUR LA PHOTOGRAPHIE SOUSMARINE OU AER</v>
      </c>
      <c r="C2321">
        <v>15</v>
      </c>
      <c r="D2321">
        <v>781053</v>
      </c>
    </row>
    <row r="2322" spans="1:4" x14ac:dyDescent="0.25">
      <c r="A2322" t="str">
        <f>T("   900719")</f>
        <v xml:space="preserve">   900719</v>
      </c>
      <c r="B2322" t="str">
        <f>T("   AUTRES CAMERAS MEME AVEC PRISE ET REPRODUCTION DU SON")</f>
        <v xml:space="preserve">   AUTRES CAMERAS MEME AVEC PRISE ET REPRODUCTION DU SON</v>
      </c>
      <c r="C2322">
        <v>28</v>
      </c>
      <c r="D2322">
        <v>983415</v>
      </c>
    </row>
    <row r="2323" spans="1:4" x14ac:dyDescent="0.25">
      <c r="A2323" t="str">
        <f>T("   901410")</f>
        <v xml:space="preserve">   901410</v>
      </c>
      <c r="B2323" t="str">
        <f>T("   BOUSSOLES, Y COMPRIS LES COMPAS DE NAVIGATION")</f>
        <v xml:space="preserve">   BOUSSOLES, Y COMPRIS LES COMPAS DE NAVIGATION</v>
      </c>
      <c r="C2323">
        <v>37337</v>
      </c>
      <c r="D2323">
        <v>765115385</v>
      </c>
    </row>
    <row r="2324" spans="1:4" x14ac:dyDescent="0.25">
      <c r="A2324" t="str">
        <f>T("   901510")</f>
        <v xml:space="preserve">   901510</v>
      </c>
      <c r="B2324" t="str">
        <f>T("   TELEMETRES")</f>
        <v xml:space="preserve">   TELEMETRES</v>
      </c>
      <c r="C2324">
        <v>20</v>
      </c>
      <c r="D2324">
        <v>4785018</v>
      </c>
    </row>
    <row r="2325" spans="1:4" x14ac:dyDescent="0.25">
      <c r="A2325" t="str">
        <f>T("   901530")</f>
        <v xml:space="preserve">   901530</v>
      </c>
      <c r="B2325" t="str">
        <f>T("   Niveaux")</f>
        <v xml:space="preserve">   Niveaux</v>
      </c>
      <c r="C2325">
        <v>3400</v>
      </c>
      <c r="D2325">
        <v>804762</v>
      </c>
    </row>
    <row r="2326" spans="1:4" x14ac:dyDescent="0.25">
      <c r="A2326" t="str">
        <f>T("   901580")</f>
        <v xml:space="preserve">   901580</v>
      </c>
      <c r="B2326" t="str">
        <f>T("   AUTRES INSTRUMENTS ET APPAREILS")</f>
        <v xml:space="preserve">   AUTRES INSTRUMENTS ET APPAREILS</v>
      </c>
      <c r="C2326">
        <v>53618</v>
      </c>
      <c r="D2326">
        <v>965434940</v>
      </c>
    </row>
    <row r="2327" spans="1:4" x14ac:dyDescent="0.25">
      <c r="A2327" t="str">
        <f>T("   901590")</f>
        <v xml:space="preserve">   901590</v>
      </c>
      <c r="B2327" t="str">
        <f>T("   PARTIES ET ACCESSOIRES")</f>
        <v xml:space="preserve">   PARTIES ET ACCESSOIRES</v>
      </c>
      <c r="C2327">
        <v>187023</v>
      </c>
      <c r="D2327">
        <v>1990808174</v>
      </c>
    </row>
    <row r="2328" spans="1:4" x14ac:dyDescent="0.25">
      <c r="A2328" t="str">
        <f>T("   901600")</f>
        <v xml:space="preserve">   901600</v>
      </c>
      <c r="B2328" t="str">
        <f>T("   BALANCES SENSIBLES A UN POIDS DE 5 CG OU MOINS, AVEC OU SANS POIDS.")</f>
        <v xml:space="preserve">   BALANCES SENSIBLES A UN POIDS DE 5 CG OU MOINS, AVEC OU SANS POIDS.</v>
      </c>
      <c r="C2328">
        <v>43.4</v>
      </c>
      <c r="D2328">
        <v>25122378</v>
      </c>
    </row>
    <row r="2329" spans="1:4" x14ac:dyDescent="0.25">
      <c r="A2329" t="str">
        <f>T("   901780")</f>
        <v xml:space="preserve">   901780</v>
      </c>
      <c r="B2329" t="str">
        <f>T("   AUTRES INSTRUMENTS")</f>
        <v xml:space="preserve">   AUTRES INSTRUMENTS</v>
      </c>
      <c r="C2329">
        <v>280</v>
      </c>
      <c r="D2329">
        <v>8327420</v>
      </c>
    </row>
    <row r="2330" spans="1:4" x14ac:dyDescent="0.25">
      <c r="A2330" t="str">
        <f>T("   901890")</f>
        <v xml:space="preserve">   901890</v>
      </c>
      <c r="B2330" t="str">
        <f>T("   AUTRES INSTRUMENTS ET APPAREILS")</f>
        <v xml:space="preserve">   AUTRES INSTRUMENTS ET APPAREILS</v>
      </c>
      <c r="C2330">
        <v>7029</v>
      </c>
      <c r="D2330">
        <v>535000</v>
      </c>
    </row>
    <row r="2331" spans="1:4" x14ac:dyDescent="0.25">
      <c r="A2331" t="str">
        <f>T("   902000")</f>
        <v xml:space="preserve">   902000</v>
      </c>
      <c r="B2331" t="str">
        <f>T("   AUTRES APPAREILS RESPIRATOIRES ET MASQUES A GAZ, A L'EXCLUSION DES MASQUES DE PROTECTIO")</f>
        <v xml:space="preserve">   AUTRES APPAREILS RESPIRATOIRES ET MASQUES A GAZ, A L'EXCLUSION DES MASQUES DE PROTECTIO</v>
      </c>
      <c r="C2331">
        <v>6700</v>
      </c>
      <c r="D2331">
        <v>76383500</v>
      </c>
    </row>
    <row r="2332" spans="1:4" x14ac:dyDescent="0.25">
      <c r="A2332" t="str">
        <f>T("   902580")</f>
        <v xml:space="preserve">   902580</v>
      </c>
      <c r="B2332" t="str">
        <f>T("   AUTRES INSTRUMENTS")</f>
        <v xml:space="preserve">   AUTRES INSTRUMENTS</v>
      </c>
      <c r="C2332">
        <v>28</v>
      </c>
      <c r="D2332">
        <v>500000</v>
      </c>
    </row>
    <row r="2333" spans="1:4" x14ac:dyDescent="0.25">
      <c r="A2333" t="str">
        <f>T("   902610")</f>
        <v xml:space="preserve">   902610</v>
      </c>
      <c r="B2333" t="str">
        <f>T("   POUR LA MESURE OU LE CONTROLE DU DEBIT OU DU NIVEAU DES LIQUIDES")</f>
        <v xml:space="preserve">   POUR LA MESURE OU LE CONTROLE DU DEBIT OU DU NIVEAU DES LIQUIDES</v>
      </c>
      <c r="C2333">
        <v>29.03</v>
      </c>
      <c r="D2333">
        <v>1935336</v>
      </c>
    </row>
    <row r="2334" spans="1:4" x14ac:dyDescent="0.25">
      <c r="A2334" t="str">
        <f>T("   902620")</f>
        <v xml:space="preserve">   902620</v>
      </c>
      <c r="B2334" t="str">
        <f>T("   POUR LA MESURE OU LE CONTROLE DE LA PRESSION")</f>
        <v xml:space="preserve">   POUR LA MESURE OU LE CONTROLE DE LA PRESSION</v>
      </c>
      <c r="C2334">
        <v>4388.3999999999996</v>
      </c>
      <c r="D2334">
        <v>148291037</v>
      </c>
    </row>
    <row r="2335" spans="1:4" x14ac:dyDescent="0.25">
      <c r="A2335" t="str">
        <f>T("   902690")</f>
        <v xml:space="preserve">   902690</v>
      </c>
      <c r="B2335" t="str">
        <f>T("   PARTIES ET ACCESSOIRES")</f>
        <v xml:space="preserve">   PARTIES ET ACCESSOIRES</v>
      </c>
      <c r="C2335">
        <v>2</v>
      </c>
      <c r="D2335">
        <v>135194</v>
      </c>
    </row>
    <row r="2336" spans="1:4" x14ac:dyDescent="0.25">
      <c r="A2336" t="str">
        <f>T("   902720")</f>
        <v xml:space="preserve">   902720</v>
      </c>
      <c r="B2336" t="str">
        <f>T("   CHROMATOGRAPHES ET APPAREILS D'ELECTROPHORESE")</f>
        <v xml:space="preserve">   CHROMATOGRAPHES ET APPAREILS D'ELECTROPHORESE</v>
      </c>
      <c r="C2336">
        <v>102</v>
      </c>
      <c r="D2336">
        <v>26886384</v>
      </c>
    </row>
    <row r="2337" spans="1:4" x14ac:dyDescent="0.25">
      <c r="A2337" t="str">
        <f>T("   902780")</f>
        <v xml:space="preserve">   902780</v>
      </c>
      <c r="B2337" t="str">
        <f>T("   AUTRES INSTRUMENTS ET APPAREILS")</f>
        <v xml:space="preserve">   AUTRES INSTRUMENTS ET APPAREILS</v>
      </c>
      <c r="C2337">
        <v>5100</v>
      </c>
      <c r="D2337">
        <v>174197266</v>
      </c>
    </row>
    <row r="2338" spans="1:4" x14ac:dyDescent="0.25">
      <c r="A2338" t="str">
        <f>T("   903031")</f>
        <v xml:space="preserve">   903031</v>
      </c>
      <c r="B2338" t="str">
        <f>T("   MULTIMETRES, SANS DISPOSITIF ENREGISTREUR")</f>
        <v xml:space="preserve">   MULTIMETRES, SANS DISPOSITIF ENREGISTREUR</v>
      </c>
      <c r="C2338">
        <v>277.77999999999997</v>
      </c>
      <c r="D2338">
        <v>47581851</v>
      </c>
    </row>
    <row r="2339" spans="1:4" x14ac:dyDescent="0.25">
      <c r="A2339" t="str">
        <f>T("   903039")</f>
        <v xml:space="preserve">   903039</v>
      </c>
      <c r="B2339" t="str">
        <f>T("   AUTRES, AVEC DISPOSITIF ENREGISTREUR")</f>
        <v xml:space="preserve">   AUTRES, AVEC DISPOSITIF ENREGISTREUR</v>
      </c>
      <c r="C2339">
        <v>10</v>
      </c>
      <c r="D2339">
        <v>22016543</v>
      </c>
    </row>
    <row r="2340" spans="1:4" x14ac:dyDescent="0.25">
      <c r="A2340" t="str">
        <f>T("   903040")</f>
        <v xml:space="preserve">   903040</v>
      </c>
      <c r="B2340" t="str">
        <f>T("   AUTRES INSTRUMENTS ET APPAREILS, SPECIALEMENT CONCUS POUR LES TECHNIQUES DE LA TELECO")</f>
        <v xml:space="preserve">   AUTRES INSTRUMENTS ET APPAREILS, SPECIALEMENT CONCUS POUR LES TECHNIQUES DE LA TELECO</v>
      </c>
      <c r="C2340">
        <v>76</v>
      </c>
      <c r="D2340">
        <v>1792426</v>
      </c>
    </row>
    <row r="2341" spans="1:4" x14ac:dyDescent="0.25">
      <c r="A2341" t="str">
        <f>T("   903089")</f>
        <v xml:space="preserve">   903089</v>
      </c>
      <c r="B2341" t="str">
        <f>T("   AUTRES")</f>
        <v xml:space="preserve">   AUTRES</v>
      </c>
      <c r="C2341">
        <v>87820</v>
      </c>
      <c r="D2341">
        <v>2411393705</v>
      </c>
    </row>
    <row r="2342" spans="1:4" x14ac:dyDescent="0.25">
      <c r="A2342" t="str">
        <f>T("   903110")</f>
        <v xml:space="preserve">   903110</v>
      </c>
      <c r="B2342" t="str">
        <f>T("   MACHINES A EQUILIBRER LES PIECES MECANIQUES")</f>
        <v xml:space="preserve">   MACHINES A EQUILIBRER LES PIECES MECANIQUES</v>
      </c>
      <c r="C2342">
        <v>226</v>
      </c>
      <c r="D2342">
        <v>6014765</v>
      </c>
    </row>
    <row r="2343" spans="1:4" x14ac:dyDescent="0.25">
      <c r="A2343" t="str">
        <f>T("   903180")</f>
        <v xml:space="preserve">   903180</v>
      </c>
      <c r="B2343" t="str">
        <f>T("   AUTRES INSTRUMENTS, APPAREILS ET MACHINES")</f>
        <v xml:space="preserve">   AUTRES INSTRUMENTS, APPAREILS ET MACHINES</v>
      </c>
      <c r="C2343">
        <v>1015</v>
      </c>
      <c r="D2343">
        <v>129372064</v>
      </c>
    </row>
    <row r="2344" spans="1:4" x14ac:dyDescent="0.25">
      <c r="A2344" t="str">
        <f>T("   903210")</f>
        <v xml:space="preserve">   903210</v>
      </c>
      <c r="B2344" t="str">
        <f>T("   THERMOSTATS")</f>
        <v xml:space="preserve">   THERMOSTATS</v>
      </c>
      <c r="C2344">
        <v>63</v>
      </c>
      <c r="D2344">
        <v>943513</v>
      </c>
    </row>
    <row r="2345" spans="1:4" x14ac:dyDescent="0.25">
      <c r="A2345" t="str">
        <f>T("   903220")</f>
        <v xml:space="preserve">   903220</v>
      </c>
      <c r="B2345" t="str">
        <f>T("   MANOSTATS (PRESSOSTATS)")</f>
        <v xml:space="preserve">   MANOSTATS (PRESSOSTATS)</v>
      </c>
      <c r="C2345">
        <v>10.199999999999999</v>
      </c>
      <c r="D2345">
        <v>7215560</v>
      </c>
    </row>
    <row r="2346" spans="1:4" x14ac:dyDescent="0.25">
      <c r="A2346" t="str">
        <f>T("   903281")</f>
        <v xml:space="preserve">   903281</v>
      </c>
      <c r="B2346" t="str">
        <f>T("   HYDRAULIQUES OU PNEUMATIQUES")</f>
        <v xml:space="preserve">   HYDRAULIQUES OU PNEUMATIQUES</v>
      </c>
      <c r="C2346">
        <v>840</v>
      </c>
      <c r="D2346">
        <v>17542947</v>
      </c>
    </row>
    <row r="2347" spans="1:4" x14ac:dyDescent="0.25">
      <c r="A2347" t="str">
        <f>T("   903289")</f>
        <v xml:space="preserve">   903289</v>
      </c>
      <c r="B2347" t="str">
        <f>T("   AUTRES")</f>
        <v xml:space="preserve">   AUTRES</v>
      </c>
      <c r="C2347">
        <v>89</v>
      </c>
      <c r="D2347">
        <v>30619616</v>
      </c>
    </row>
    <row r="2348" spans="1:4" x14ac:dyDescent="0.25">
      <c r="A2348" t="str">
        <f>T("   903300")</f>
        <v xml:space="preserve">   903300</v>
      </c>
      <c r="B2348" t="str">
        <f>T("   PARTIES ET ACCESSOIRES NON DENOMMES NI COMPRIS AILLEURS DANS LE PRESENT CHAPITRE, POUR")</f>
        <v xml:space="preserve">   PARTIES ET ACCESSOIRES NON DENOMMES NI COMPRIS AILLEURS DANS LE PRESENT CHAPITRE, POUR</v>
      </c>
      <c r="C2348">
        <v>72</v>
      </c>
      <c r="D2348">
        <v>3293050</v>
      </c>
    </row>
    <row r="2349" spans="1:4" x14ac:dyDescent="0.25">
      <c r="A2349" t="str">
        <f>T("   930190")</f>
        <v xml:space="preserve">   930190</v>
      </c>
      <c r="B2349" t="str">
        <f>T("   AUTRES")</f>
        <v xml:space="preserve">   AUTRES</v>
      </c>
      <c r="C2349">
        <v>14</v>
      </c>
      <c r="D2349">
        <v>1650000</v>
      </c>
    </row>
    <row r="2350" spans="1:4" x14ac:dyDescent="0.25">
      <c r="A2350" t="str">
        <f>T("   930690")</f>
        <v xml:space="preserve">   930690</v>
      </c>
      <c r="B2350" t="str">
        <f>T("   AUTRES")</f>
        <v xml:space="preserve">   AUTRES</v>
      </c>
      <c r="C2350">
        <v>1813</v>
      </c>
      <c r="D2350">
        <v>23147185</v>
      </c>
    </row>
    <row r="2351" spans="1:4" x14ac:dyDescent="0.25">
      <c r="A2351" t="str">
        <f>T("   940161")</f>
        <v xml:space="preserve">   940161</v>
      </c>
      <c r="B2351" t="str">
        <f>T("   REMBOURRES")</f>
        <v xml:space="preserve">   REMBOURRES</v>
      </c>
      <c r="C2351">
        <v>105</v>
      </c>
      <c r="D2351">
        <v>150000</v>
      </c>
    </row>
    <row r="2352" spans="1:4" x14ac:dyDescent="0.25">
      <c r="A2352" t="str">
        <f>T("   940180")</f>
        <v xml:space="preserve">   940180</v>
      </c>
      <c r="B2352" t="str">
        <f>T("   AUTRES SIEGES")</f>
        <v xml:space="preserve">   AUTRES SIEGES</v>
      </c>
      <c r="C2352">
        <v>200</v>
      </c>
      <c r="D2352">
        <v>655000</v>
      </c>
    </row>
    <row r="2353" spans="1:4" x14ac:dyDescent="0.25">
      <c r="A2353" t="str">
        <f>T("   940290")</f>
        <v xml:space="preserve">   940290</v>
      </c>
      <c r="B2353" t="str">
        <f>T("   AUTRES")</f>
        <v xml:space="preserve">   AUTRES</v>
      </c>
      <c r="C2353">
        <v>20000</v>
      </c>
      <c r="D2353">
        <v>6000000</v>
      </c>
    </row>
    <row r="2354" spans="1:4" x14ac:dyDescent="0.25">
      <c r="A2354" t="str">
        <f>T("   940310")</f>
        <v xml:space="preserve">   940310</v>
      </c>
      <c r="B2354" t="str">
        <f>T("   MEUBLES EN METAL DES TYPES UTILISES DANS LES BUREAUX")</f>
        <v xml:space="preserve">   MEUBLES EN METAL DES TYPES UTILISES DANS LES BUREAUX</v>
      </c>
      <c r="C2354">
        <v>2000</v>
      </c>
      <c r="D2354">
        <v>8092000</v>
      </c>
    </row>
    <row r="2355" spans="1:4" x14ac:dyDescent="0.25">
      <c r="A2355" t="str">
        <f>T("   940350")</f>
        <v xml:space="preserve">   940350</v>
      </c>
      <c r="B2355" t="str">
        <f>T("   MEUBLES EN BOIS DES TYPES UTILISES DANS LES CHAMBRES A COUCHER")</f>
        <v xml:space="preserve">   MEUBLES EN BOIS DES TYPES UTILISES DANS LES CHAMBRES A COUCHER</v>
      </c>
      <c r="C2355">
        <v>135271</v>
      </c>
      <c r="D2355">
        <v>157587178</v>
      </c>
    </row>
    <row r="2356" spans="1:4" x14ac:dyDescent="0.25">
      <c r="A2356" t="str">
        <f>T("   940360")</f>
        <v xml:space="preserve">   940360</v>
      </c>
      <c r="B2356" t="str">
        <f>T("   Autres meubles en bois")</f>
        <v xml:space="preserve">   Autres meubles en bois</v>
      </c>
      <c r="C2356">
        <v>82596</v>
      </c>
      <c r="D2356">
        <v>99901000</v>
      </c>
    </row>
    <row r="2357" spans="1:4" x14ac:dyDescent="0.25">
      <c r="A2357" t="str">
        <f>T("   940370")</f>
        <v xml:space="preserve">   940370</v>
      </c>
      <c r="B2357" t="str">
        <f>T("   MEUBLES EN MATIERES PLASTIQUES")</f>
        <v xml:space="preserve">   MEUBLES EN MATIERES PLASTIQUES</v>
      </c>
      <c r="C2357">
        <v>56368</v>
      </c>
      <c r="D2357">
        <v>78803250</v>
      </c>
    </row>
    <row r="2358" spans="1:4" x14ac:dyDescent="0.25">
      <c r="A2358" t="str">
        <f>T("   940389")</f>
        <v xml:space="preserve">   940389</v>
      </c>
      <c r="B2358" t="str">
        <f>T("   AUTRES")</f>
        <v xml:space="preserve">   AUTRES</v>
      </c>
      <c r="C2358">
        <v>90230</v>
      </c>
      <c r="D2358">
        <v>72500000</v>
      </c>
    </row>
    <row r="2359" spans="1:4" x14ac:dyDescent="0.25">
      <c r="A2359" t="str">
        <f>T("   940390")</f>
        <v xml:space="preserve">   940390</v>
      </c>
      <c r="B2359" t="str">
        <f>T("   PARTIES")</f>
        <v xml:space="preserve">   PARTIES</v>
      </c>
      <c r="C2359">
        <v>15180</v>
      </c>
      <c r="D2359">
        <v>5896402</v>
      </c>
    </row>
    <row r="2360" spans="1:4" x14ac:dyDescent="0.25">
      <c r="A2360" t="str">
        <f>T("   940410")</f>
        <v xml:space="preserve">   940410</v>
      </c>
      <c r="B2360" t="str">
        <f>T("   Sommiers")</f>
        <v xml:space="preserve">   Sommiers</v>
      </c>
      <c r="C2360">
        <v>713</v>
      </c>
      <c r="D2360">
        <v>2753836</v>
      </c>
    </row>
    <row r="2361" spans="1:4" x14ac:dyDescent="0.25">
      <c r="A2361" t="str">
        <f>T("   940429")</f>
        <v xml:space="preserve">   940429</v>
      </c>
      <c r="B2361" t="str">
        <f>T("   EN AUTRES MATIERES")</f>
        <v xml:space="preserve">   EN AUTRES MATIERES</v>
      </c>
      <c r="C2361">
        <v>25</v>
      </c>
      <c r="D2361">
        <v>25000</v>
      </c>
    </row>
    <row r="2362" spans="1:4" x14ac:dyDescent="0.25">
      <c r="A2362" t="str">
        <f>T("   940490")</f>
        <v xml:space="preserve">   940490</v>
      </c>
      <c r="B2362" t="str">
        <f>T("   AUTRES")</f>
        <v xml:space="preserve">   AUTRES</v>
      </c>
      <c r="C2362">
        <v>1920</v>
      </c>
      <c r="D2362">
        <v>2878738</v>
      </c>
    </row>
    <row r="2363" spans="1:4" x14ac:dyDescent="0.25">
      <c r="A2363" t="str">
        <f>T("   940540")</f>
        <v xml:space="preserve">   940540</v>
      </c>
      <c r="B2363" t="str">
        <f>T("   AUTRES APPAREILS D'ECLAIRAGE ELECTRIQUES")</f>
        <v xml:space="preserve">   AUTRES APPAREILS D'ECLAIRAGE ELECTRIQUES</v>
      </c>
      <c r="C2363">
        <v>57</v>
      </c>
      <c r="D2363">
        <v>1005587</v>
      </c>
    </row>
    <row r="2364" spans="1:4" x14ac:dyDescent="0.25">
      <c r="A2364" t="str">
        <f>T("   940560")</f>
        <v xml:space="preserve">   940560</v>
      </c>
      <c r="B2364" t="str">
        <f>T("   LAMPESRECLAMES, ENSEIGNES LUMINEUSES, PLAQUES INDICATRICES LUMINEUSES ET ARTICLES SI")</f>
        <v xml:space="preserve">   LAMPESRECLAMES, ENSEIGNES LUMINEUSES, PLAQUES INDICATRICES LUMINEUSES ET ARTICLES SI</v>
      </c>
      <c r="C2364">
        <v>10</v>
      </c>
      <c r="D2364">
        <v>10000</v>
      </c>
    </row>
    <row r="2365" spans="1:4" x14ac:dyDescent="0.25">
      <c r="A2365" t="str">
        <f>T("   940591")</f>
        <v xml:space="preserve">   940591</v>
      </c>
      <c r="B2365" t="str">
        <f>T("   EN VERRE")</f>
        <v xml:space="preserve">   EN VERRE</v>
      </c>
      <c r="C2365">
        <v>3923</v>
      </c>
      <c r="D2365">
        <v>1688898</v>
      </c>
    </row>
    <row r="2366" spans="1:4" x14ac:dyDescent="0.25">
      <c r="A2366" t="str">
        <f>T("   940600")</f>
        <v xml:space="preserve">   940600</v>
      </c>
      <c r="B2366" t="str">
        <f>T("   CONSTRUCTIONS PREFABRIQUEES.")</f>
        <v xml:space="preserve">   CONSTRUCTIONS PREFABRIQUEES.</v>
      </c>
      <c r="C2366">
        <v>17963</v>
      </c>
      <c r="D2366">
        <v>125950188</v>
      </c>
    </row>
    <row r="2367" spans="1:4" x14ac:dyDescent="0.25">
      <c r="A2367" t="str">
        <f>T("   950300")</f>
        <v xml:space="preserve">   950300</v>
      </c>
      <c r="B2367" t="str">
        <f>T("   TRICYCLES, TROTTINETTES, AUTOS A PEDALES ET JOUETS A ROUES SIMILAIRES; LANDAUS ET POUSS")</f>
        <v xml:space="preserve">   TRICYCLES, TROTTINETTES, AUTOS A PEDALES ET JOUETS A ROUES SIMILAIRES; LANDAUS ET POUSS</v>
      </c>
      <c r="C2367">
        <v>600</v>
      </c>
      <c r="D2367">
        <v>600000</v>
      </c>
    </row>
    <row r="2368" spans="1:4" x14ac:dyDescent="0.25">
      <c r="A2368" t="str">
        <f>T("   950490")</f>
        <v xml:space="preserve">   950490</v>
      </c>
      <c r="B2368" t="str">
        <f t="shared" ref="B2368:B2373" si="6">T("   AUTRES")</f>
        <v xml:space="preserve">   AUTRES</v>
      </c>
      <c r="C2368">
        <v>60</v>
      </c>
      <c r="D2368">
        <v>1332255</v>
      </c>
    </row>
    <row r="2369" spans="1:4" x14ac:dyDescent="0.25">
      <c r="A2369" t="str">
        <f>T("   950590")</f>
        <v xml:space="preserve">   950590</v>
      </c>
      <c r="B2369" t="str">
        <f t="shared" si="6"/>
        <v xml:space="preserve">   AUTRES</v>
      </c>
      <c r="C2369">
        <v>25000</v>
      </c>
      <c r="D2369">
        <v>3040000</v>
      </c>
    </row>
    <row r="2370" spans="1:4" x14ac:dyDescent="0.25">
      <c r="A2370" t="str">
        <f>T("   950699")</f>
        <v xml:space="preserve">   950699</v>
      </c>
      <c r="B2370" t="str">
        <f t="shared" si="6"/>
        <v xml:space="preserve">   AUTRES</v>
      </c>
      <c r="C2370">
        <v>211</v>
      </c>
      <c r="D2370">
        <v>200000</v>
      </c>
    </row>
    <row r="2371" spans="1:4" x14ac:dyDescent="0.25">
      <c r="A2371" t="str">
        <f>T("   960190")</f>
        <v xml:space="preserve">   960190</v>
      </c>
      <c r="B2371" t="str">
        <f t="shared" si="6"/>
        <v xml:space="preserve">   AUTRES</v>
      </c>
      <c r="C2371">
        <v>16000</v>
      </c>
      <c r="D2371">
        <v>3200000</v>
      </c>
    </row>
    <row r="2372" spans="1:4" x14ac:dyDescent="0.25">
      <c r="A2372" t="str">
        <f>T("   960329")</f>
        <v xml:space="preserve">   960329</v>
      </c>
      <c r="B2372" t="str">
        <f t="shared" si="6"/>
        <v xml:space="preserve">   AUTRES</v>
      </c>
      <c r="C2372">
        <v>31</v>
      </c>
      <c r="D2372">
        <v>189748</v>
      </c>
    </row>
    <row r="2373" spans="1:4" x14ac:dyDescent="0.25">
      <c r="A2373" t="str">
        <f>T("   960390")</f>
        <v xml:space="preserve">   960390</v>
      </c>
      <c r="B2373" t="str">
        <f t="shared" si="6"/>
        <v xml:space="preserve">   AUTRES</v>
      </c>
      <c r="C2373">
        <v>1</v>
      </c>
      <c r="D2373">
        <v>35350</v>
      </c>
    </row>
    <row r="2374" spans="1:4" x14ac:dyDescent="0.25">
      <c r="A2374" t="str">
        <f>T("   970110")</f>
        <v xml:space="preserve">   970110</v>
      </c>
      <c r="B2374" t="str">
        <f>T("   TABLEAUX, PEINTURES ET DESSINS")</f>
        <v xml:space="preserve">   TABLEAUX, PEINTURES ET DESSINS</v>
      </c>
      <c r="C2374">
        <v>142</v>
      </c>
      <c r="D2374">
        <v>1364397</v>
      </c>
    </row>
    <row r="2375" spans="1:4" x14ac:dyDescent="0.25">
      <c r="A2375" t="str">
        <f>T("   970190")</f>
        <v xml:space="preserve">   970190</v>
      </c>
      <c r="B2375" t="str">
        <f>T("   AUTRES")</f>
        <v xml:space="preserve">   AUTRES</v>
      </c>
      <c r="C2375">
        <v>4515</v>
      </c>
      <c r="D2375">
        <v>50600000</v>
      </c>
    </row>
    <row r="2376" spans="1:4" x14ac:dyDescent="0.25">
      <c r="A2376" t="str">
        <f>T("   970300")</f>
        <v xml:space="preserve">   970300</v>
      </c>
      <c r="B2376" t="str">
        <f>T("   PRODUCTIONS ORIGINALES DE L'ART STATUAIRE OU DE LA SCULPTURE, EN TOUTES MATIERES.")</f>
        <v xml:space="preserve">   PRODUCTIONS ORIGINALES DE L'ART STATUAIRE OU DE LA SCULPTURE, EN TOUTES MATIERES.</v>
      </c>
      <c r="C2376">
        <v>6162</v>
      </c>
      <c r="D2376">
        <v>6619540</v>
      </c>
    </row>
    <row r="2377" spans="1:4" x14ac:dyDescent="0.25">
      <c r="A2377" t="str">
        <f>T("   970600")</f>
        <v xml:space="preserve">   970600</v>
      </c>
      <c r="B2377" t="str">
        <f>T("   OBJETS D'ANTIQUITE AYANT PLUS DE 100 ANS D'AGE.")</f>
        <v xml:space="preserve">   OBJETS D'ANTIQUITE AYANT PLUS DE 100 ANS D'AGE.</v>
      </c>
      <c r="C2377">
        <v>976</v>
      </c>
      <c r="D2377">
        <v>425000</v>
      </c>
    </row>
    <row r="2378" spans="1:4" s="1" customFormat="1" x14ac:dyDescent="0.25">
      <c r="A2378" s="1" t="str">
        <f>T("   ZZ_Total_Produit_SH6")</f>
        <v xml:space="preserve">   ZZ_Total_Produit_SH6</v>
      </c>
      <c r="B2378" s="1" t="str">
        <f>T("   ZZ_Total_Produit_SH6")</f>
        <v xml:space="preserve">   ZZ_Total_Produit_SH6</v>
      </c>
      <c r="C2378" s="1">
        <v>917948818.39999998</v>
      </c>
      <c r="D2378" s="1">
        <v>357208146304</v>
      </c>
    </row>
    <row r="2381" spans="1:4" x14ac:dyDescent="0.25">
      <c r="A2381" t="s">
        <v>13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export_pays_produit_2014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Romeo</cp:lastModifiedBy>
  <dcterms:modified xsi:type="dcterms:W3CDTF">2015-03-19T10:15:22Z</dcterms:modified>
</cp:coreProperties>
</file>